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" windowWidth="21030" windowHeight="7950"/>
  </bookViews>
  <sheets>
    <sheet name="AVEK Historial 1976-2012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M239" i="1" l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AM233" i="1"/>
  <c r="AL233" i="1"/>
  <c r="AK233" i="1"/>
  <c r="AJ233" i="1"/>
  <c r="AI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AM232" i="1"/>
  <c r="AL232" i="1"/>
  <c r="AK232" i="1"/>
  <c r="AJ232" i="1"/>
  <c r="AI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AL229" i="1"/>
  <c r="AI229" i="1"/>
  <c r="AH229" i="1"/>
  <c r="AG229" i="1"/>
  <c r="AF229" i="1"/>
  <c r="AE229" i="1"/>
  <c r="AD229" i="1"/>
  <c r="AC229" i="1"/>
  <c r="AB229" i="1"/>
  <c r="AA229" i="1"/>
  <c r="Z229" i="1"/>
  <c r="Y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AM228" i="1"/>
  <c r="AL228" i="1"/>
  <c r="AK228" i="1"/>
  <c r="AJ228" i="1"/>
  <c r="AI228" i="1"/>
  <c r="AG228" i="1"/>
  <c r="AF228" i="1"/>
  <c r="AE228" i="1"/>
  <c r="AD228" i="1"/>
  <c r="AC228" i="1"/>
  <c r="AB228" i="1"/>
  <c r="AA228" i="1"/>
  <c r="Z228" i="1"/>
  <c r="Y228" i="1"/>
  <c r="X228" i="1"/>
  <c r="V228" i="1"/>
  <c r="U228" i="1"/>
  <c r="S228" i="1"/>
  <c r="O228" i="1"/>
  <c r="N228" i="1"/>
  <c r="K228" i="1"/>
  <c r="J228" i="1"/>
  <c r="I228" i="1"/>
  <c r="H228" i="1"/>
  <c r="G228" i="1"/>
  <c r="F228" i="1"/>
  <c r="E228" i="1"/>
  <c r="D228" i="1"/>
  <c r="C228" i="1"/>
  <c r="AM227" i="1"/>
  <c r="AM241" i="1" s="1"/>
  <c r="AL227" i="1"/>
  <c r="AL241" i="1" s="1"/>
  <c r="AJ227" i="1"/>
  <c r="AJ241" i="1" s="1"/>
  <c r="AI227" i="1"/>
  <c r="AI241" i="1" s="1"/>
  <c r="AH227" i="1"/>
  <c r="AH241" i="1" s="1"/>
  <c r="AF227" i="1"/>
  <c r="AF241" i="1" s="1"/>
  <c r="AE227" i="1"/>
  <c r="AE241" i="1" s="1"/>
  <c r="AD227" i="1"/>
  <c r="AD241" i="1" s="1"/>
  <c r="AC227" i="1"/>
  <c r="AC241" i="1" s="1"/>
  <c r="AB227" i="1"/>
  <c r="AB241" i="1" s="1"/>
  <c r="AA227" i="1"/>
  <c r="AA241" i="1" s="1"/>
  <c r="Z227" i="1"/>
  <c r="Z241" i="1" s="1"/>
  <c r="Y227" i="1"/>
  <c r="Y241" i="1" s="1"/>
  <c r="X227" i="1"/>
  <c r="X241" i="1" s="1"/>
  <c r="W227" i="1"/>
  <c r="W241" i="1" s="1"/>
  <c r="V227" i="1"/>
  <c r="V241" i="1" s="1"/>
  <c r="U227" i="1"/>
  <c r="U241" i="1" s="1"/>
  <c r="T227" i="1"/>
  <c r="T241" i="1" s="1"/>
  <c r="S227" i="1"/>
  <c r="S241" i="1" s="1"/>
  <c r="O227" i="1"/>
  <c r="O241" i="1" s="1"/>
  <c r="N227" i="1"/>
  <c r="N241" i="1" s="1"/>
  <c r="K227" i="1"/>
  <c r="K241" i="1" s="1"/>
  <c r="J227" i="1"/>
  <c r="J241" i="1" s="1"/>
  <c r="H227" i="1"/>
  <c r="H241" i="1" s="1"/>
  <c r="G227" i="1"/>
  <c r="G241" i="1" s="1"/>
  <c r="F227" i="1"/>
  <c r="F241" i="1" s="1"/>
  <c r="E227" i="1"/>
  <c r="E241" i="1" s="1"/>
  <c r="D227" i="1"/>
  <c r="D241" i="1" s="1"/>
  <c r="C227" i="1"/>
  <c r="C241" i="1" s="1"/>
  <c r="AL226" i="1"/>
  <c r="AK226" i="1" s="1"/>
  <c r="AJ226" i="1" s="1"/>
  <c r="AI226" i="1" s="1"/>
  <c r="AH226" i="1" s="1"/>
  <c r="AG226" i="1" s="1"/>
  <c r="AF226" i="1" s="1"/>
  <c r="AE226" i="1" s="1"/>
  <c r="AD226" i="1" s="1"/>
  <c r="AC226" i="1" s="1"/>
  <c r="AB226" i="1" s="1"/>
  <c r="AA226" i="1" s="1"/>
  <c r="Z226" i="1" s="1"/>
  <c r="Y226" i="1" s="1"/>
  <c r="X226" i="1" s="1"/>
  <c r="W226" i="1" s="1"/>
  <c r="V226" i="1" s="1"/>
  <c r="U226" i="1" s="1"/>
  <c r="T226" i="1" s="1"/>
  <c r="S226" i="1" s="1"/>
  <c r="R226" i="1" s="1"/>
  <c r="Q226" i="1" s="1"/>
  <c r="P226" i="1" s="1"/>
  <c r="O226" i="1" s="1"/>
  <c r="N226" i="1" s="1"/>
  <c r="M226" i="1" s="1"/>
  <c r="L226" i="1" s="1"/>
  <c r="K226" i="1" s="1"/>
  <c r="J226" i="1" s="1"/>
  <c r="I226" i="1" s="1"/>
  <c r="H226" i="1" s="1"/>
  <c r="G226" i="1" s="1"/>
  <c r="F226" i="1" s="1"/>
  <c r="E226" i="1" s="1"/>
  <c r="D226" i="1" s="1"/>
  <c r="C226" i="1" s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AM218" i="1"/>
  <c r="AM223" i="1" s="1"/>
  <c r="AL218" i="1"/>
  <c r="AL223" i="1" s="1"/>
  <c r="AK218" i="1"/>
  <c r="AK223" i="1" s="1"/>
  <c r="AJ218" i="1"/>
  <c r="AJ223" i="1" s="1"/>
  <c r="AI218" i="1"/>
  <c r="AI223" i="1" s="1"/>
  <c r="AF218" i="1"/>
  <c r="AF223" i="1" s="1"/>
  <c r="AE218" i="1"/>
  <c r="AE223" i="1" s="1"/>
  <c r="AD218" i="1"/>
  <c r="AD223" i="1" s="1"/>
  <c r="AC218" i="1"/>
  <c r="AC223" i="1" s="1"/>
  <c r="AB218" i="1"/>
  <c r="AB223" i="1" s="1"/>
  <c r="AA218" i="1"/>
  <c r="AA223" i="1" s="1"/>
  <c r="Z218" i="1"/>
  <c r="Z223" i="1" s="1"/>
  <c r="Y218" i="1"/>
  <c r="Y223" i="1" s="1"/>
  <c r="X218" i="1"/>
  <c r="X223" i="1" s="1"/>
  <c r="W218" i="1"/>
  <c r="W223" i="1" s="1"/>
  <c r="V218" i="1"/>
  <c r="V223" i="1" s="1"/>
  <c r="U218" i="1"/>
  <c r="U223" i="1" s="1"/>
  <c r="T218" i="1"/>
  <c r="T223" i="1" s="1"/>
  <c r="S218" i="1"/>
  <c r="S223" i="1" s="1"/>
  <c r="R218" i="1"/>
  <c r="R223" i="1" s="1"/>
  <c r="Q218" i="1"/>
  <c r="Q223" i="1" s="1"/>
  <c r="P218" i="1"/>
  <c r="P223" i="1" s="1"/>
  <c r="O218" i="1"/>
  <c r="O223" i="1" s="1"/>
  <c r="N218" i="1"/>
  <c r="N223" i="1" s="1"/>
  <c r="M218" i="1"/>
  <c r="M223" i="1" s="1"/>
  <c r="L218" i="1"/>
  <c r="L223" i="1" s="1"/>
  <c r="K218" i="1"/>
  <c r="K223" i="1" s="1"/>
  <c r="J218" i="1"/>
  <c r="J223" i="1" s="1"/>
  <c r="I218" i="1"/>
  <c r="I223" i="1" s="1"/>
  <c r="H218" i="1"/>
  <c r="H223" i="1" s="1"/>
  <c r="G218" i="1"/>
  <c r="G223" i="1" s="1"/>
  <c r="F218" i="1"/>
  <c r="F223" i="1" s="1"/>
  <c r="E218" i="1"/>
  <c r="E223" i="1" s="1"/>
  <c r="D218" i="1"/>
  <c r="D223" i="1" s="1"/>
  <c r="C218" i="1"/>
  <c r="C223" i="1" s="1"/>
  <c r="AL217" i="1"/>
  <c r="AK217" i="1"/>
  <c r="AJ217" i="1" s="1"/>
  <c r="AI217" i="1" s="1"/>
  <c r="AH217" i="1" s="1"/>
  <c r="AG217" i="1" s="1"/>
  <c r="AF217" i="1" s="1"/>
  <c r="AE217" i="1" s="1"/>
  <c r="AD217" i="1" s="1"/>
  <c r="AC217" i="1" s="1"/>
  <c r="AB217" i="1" s="1"/>
  <c r="AA217" i="1" s="1"/>
  <c r="Z217" i="1" s="1"/>
  <c r="Y217" i="1" s="1"/>
  <c r="X217" i="1" s="1"/>
  <c r="W217" i="1" s="1"/>
  <c r="V217" i="1" s="1"/>
  <c r="U217" i="1" s="1"/>
  <c r="T217" i="1" s="1"/>
  <c r="S217" i="1" s="1"/>
  <c r="R217" i="1" s="1"/>
  <c r="Q217" i="1" s="1"/>
  <c r="P217" i="1" s="1"/>
  <c r="O217" i="1" s="1"/>
  <c r="N217" i="1" s="1"/>
  <c r="M217" i="1" s="1"/>
  <c r="L217" i="1" s="1"/>
  <c r="K217" i="1" s="1"/>
  <c r="J217" i="1" s="1"/>
  <c r="I217" i="1" s="1"/>
  <c r="H217" i="1" s="1"/>
  <c r="G217" i="1" s="1"/>
  <c r="F217" i="1" s="1"/>
  <c r="E217" i="1" s="1"/>
  <c r="D217" i="1" s="1"/>
  <c r="C217" i="1" s="1"/>
  <c r="F214" i="1"/>
  <c r="E214" i="1"/>
  <c r="D214" i="1"/>
  <c r="C214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AM212" i="1"/>
  <c r="AL212" i="1"/>
  <c r="AI212" i="1"/>
  <c r="AF212" i="1"/>
  <c r="AE212" i="1"/>
  <c r="AD212" i="1"/>
  <c r="AC212" i="1"/>
  <c r="AB212" i="1"/>
  <c r="AA212" i="1"/>
  <c r="Z212" i="1"/>
  <c r="Y212" i="1"/>
  <c r="V212" i="1"/>
  <c r="U212" i="1"/>
  <c r="S212" i="1"/>
  <c r="O212" i="1"/>
  <c r="N212" i="1"/>
  <c r="K212" i="1"/>
  <c r="J212" i="1"/>
  <c r="H212" i="1"/>
  <c r="G212" i="1"/>
  <c r="F212" i="1"/>
  <c r="E212" i="1"/>
  <c r="D212" i="1"/>
  <c r="C212" i="1"/>
  <c r="AM211" i="1"/>
  <c r="AL211" i="1"/>
  <c r="AK211" i="1"/>
  <c r="AJ211" i="1"/>
  <c r="AI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AL208" i="1"/>
  <c r="AK208" i="1"/>
  <c r="AJ208" i="1" s="1"/>
  <c r="AI208" i="1" s="1"/>
  <c r="AH208" i="1" s="1"/>
  <c r="AG208" i="1" s="1"/>
  <c r="AF208" i="1" s="1"/>
  <c r="AE208" i="1" s="1"/>
  <c r="AD208" i="1" s="1"/>
  <c r="AC208" i="1" s="1"/>
  <c r="AB208" i="1" s="1"/>
  <c r="AA208" i="1" s="1"/>
  <c r="Z208" i="1" s="1"/>
  <c r="Y208" i="1" s="1"/>
  <c r="X208" i="1" s="1"/>
  <c r="W208" i="1" s="1"/>
  <c r="V208" i="1" s="1"/>
  <c r="U208" i="1" s="1"/>
  <c r="T208" i="1" s="1"/>
  <c r="S208" i="1" s="1"/>
  <c r="R208" i="1" s="1"/>
  <c r="Q208" i="1" s="1"/>
  <c r="P208" i="1" s="1"/>
  <c r="O208" i="1" s="1"/>
  <c r="N208" i="1" s="1"/>
  <c r="M208" i="1" s="1"/>
  <c r="L208" i="1" s="1"/>
  <c r="K208" i="1" s="1"/>
  <c r="J208" i="1" s="1"/>
  <c r="I208" i="1" s="1"/>
  <c r="H208" i="1" s="1"/>
  <c r="G208" i="1" s="1"/>
  <c r="F208" i="1" s="1"/>
  <c r="E208" i="1" s="1"/>
  <c r="D208" i="1" s="1"/>
  <c r="C208" i="1" s="1"/>
  <c r="AL205" i="1"/>
  <c r="AI205" i="1"/>
  <c r="AH205" i="1"/>
  <c r="AG205" i="1"/>
  <c r="AF205" i="1"/>
  <c r="AE205" i="1"/>
  <c r="AD205" i="1"/>
  <c r="AC205" i="1"/>
  <c r="AB205" i="1"/>
  <c r="AA205" i="1"/>
  <c r="Z205" i="1"/>
  <c r="Y205" i="1"/>
  <c r="V205" i="1"/>
  <c r="U205" i="1"/>
  <c r="T205" i="1"/>
  <c r="S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AN204" i="1"/>
  <c r="AN203" i="1"/>
  <c r="AN202" i="1"/>
  <c r="AN201" i="1"/>
  <c r="AN200" i="1"/>
  <c r="AN199" i="1"/>
  <c r="AN198" i="1"/>
  <c r="AN197" i="1"/>
  <c r="AN196" i="1"/>
  <c r="AN195" i="1"/>
  <c r="AN194" i="1"/>
  <c r="AN193" i="1"/>
  <c r="AN192" i="1"/>
  <c r="AN191" i="1"/>
  <c r="AN190" i="1"/>
  <c r="AN189" i="1"/>
  <c r="R188" i="1"/>
  <c r="AN187" i="1"/>
  <c r="X186" i="1"/>
  <c r="W186" i="1"/>
  <c r="AN186" i="1" s="1"/>
  <c r="W185" i="1"/>
  <c r="AN185" i="1" s="1"/>
  <c r="W184" i="1"/>
  <c r="AN184" i="1" s="1"/>
  <c r="AK183" i="1"/>
  <c r="AJ183" i="1"/>
  <c r="AJ212" i="1" s="1"/>
  <c r="X183" i="1"/>
  <c r="X229" i="1" s="1"/>
  <c r="W183" i="1"/>
  <c r="AN183" i="1" s="1"/>
  <c r="AK182" i="1"/>
  <c r="AJ182" i="1"/>
  <c r="AN182" i="1" s="1"/>
  <c r="W182" i="1"/>
  <c r="AN181" i="1"/>
  <c r="AM180" i="1"/>
  <c r="AM229" i="1" s="1"/>
  <c r="AK180" i="1"/>
  <c r="AJ180" i="1"/>
  <c r="AJ229" i="1" s="1"/>
  <c r="AL178" i="1"/>
  <c r="AK178" i="1"/>
  <c r="AJ178" i="1" s="1"/>
  <c r="AI178" i="1" s="1"/>
  <c r="AH178" i="1" s="1"/>
  <c r="AG178" i="1" s="1"/>
  <c r="AF178" i="1" s="1"/>
  <c r="AE178" i="1" s="1"/>
  <c r="AD178" i="1" s="1"/>
  <c r="AC178" i="1" s="1"/>
  <c r="AB178" i="1" s="1"/>
  <c r="AA178" i="1" s="1"/>
  <c r="Z178" i="1" s="1"/>
  <c r="Y178" i="1" s="1"/>
  <c r="X178" i="1" s="1"/>
  <c r="W178" i="1" s="1"/>
  <c r="V178" i="1" s="1"/>
  <c r="U178" i="1" s="1"/>
  <c r="T178" i="1" s="1"/>
  <c r="S178" i="1" s="1"/>
  <c r="R178" i="1" s="1"/>
  <c r="Q178" i="1" s="1"/>
  <c r="P178" i="1" s="1"/>
  <c r="O178" i="1" s="1"/>
  <c r="N178" i="1" s="1"/>
  <c r="M178" i="1" s="1"/>
  <c r="L178" i="1" s="1"/>
  <c r="K178" i="1" s="1"/>
  <c r="J178" i="1" s="1"/>
  <c r="I178" i="1" s="1"/>
  <c r="H178" i="1" s="1"/>
  <c r="G178" i="1" s="1"/>
  <c r="F178" i="1" s="1"/>
  <c r="E178" i="1" s="1"/>
  <c r="D178" i="1" s="1"/>
  <c r="C178" i="1" s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AN174" i="1"/>
  <c r="AN221" i="1" s="1"/>
  <c r="AL172" i="1"/>
  <c r="AK172" i="1" s="1"/>
  <c r="AJ172" i="1" s="1"/>
  <c r="AI172" i="1" s="1"/>
  <c r="AH172" i="1" s="1"/>
  <c r="AG172" i="1" s="1"/>
  <c r="AF172" i="1" s="1"/>
  <c r="AE172" i="1" s="1"/>
  <c r="AD172" i="1"/>
  <c r="AC172" i="1" s="1"/>
  <c r="AB172" i="1" s="1"/>
  <c r="AA172" i="1" s="1"/>
  <c r="Z172" i="1" s="1"/>
  <c r="Y172" i="1" s="1"/>
  <c r="X172" i="1" s="1"/>
  <c r="W172" i="1" s="1"/>
  <c r="V172" i="1" s="1"/>
  <c r="U172" i="1" s="1"/>
  <c r="T172" i="1" s="1"/>
  <c r="S172" i="1" s="1"/>
  <c r="R172" i="1" s="1"/>
  <c r="Q172" i="1" s="1"/>
  <c r="P172" i="1" s="1"/>
  <c r="O172" i="1" s="1"/>
  <c r="N172" i="1" s="1"/>
  <c r="M172" i="1" s="1"/>
  <c r="L172" i="1" s="1"/>
  <c r="K172" i="1" s="1"/>
  <c r="J172" i="1" s="1"/>
  <c r="I172" i="1" s="1"/>
  <c r="H172" i="1" s="1"/>
  <c r="G172" i="1" s="1"/>
  <c r="F172" i="1" s="1"/>
  <c r="E172" i="1" s="1"/>
  <c r="D172" i="1" s="1"/>
  <c r="C172" i="1" s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AN169" i="1"/>
  <c r="AN168" i="1"/>
  <c r="AN167" i="1"/>
  <c r="AN170" i="1" s="1"/>
  <c r="AN166" i="1"/>
  <c r="AN235" i="1" s="1"/>
  <c r="AL164" i="1"/>
  <c r="AK164" i="1" s="1"/>
  <c r="AJ164" i="1" s="1"/>
  <c r="AI164" i="1" s="1"/>
  <c r="AH164" i="1" s="1"/>
  <c r="AG164" i="1" s="1"/>
  <c r="AF164" i="1" s="1"/>
  <c r="AE164" i="1" s="1"/>
  <c r="AD164" i="1" s="1"/>
  <c r="AC164" i="1" s="1"/>
  <c r="AB164" i="1" s="1"/>
  <c r="AA164" i="1" s="1"/>
  <c r="Z164" i="1" s="1"/>
  <c r="Y164" i="1" s="1"/>
  <c r="X164" i="1" s="1"/>
  <c r="W164" i="1" s="1"/>
  <c r="V164" i="1" s="1"/>
  <c r="U164" i="1" s="1"/>
  <c r="T164" i="1" s="1"/>
  <c r="S164" i="1" s="1"/>
  <c r="R164" i="1" s="1"/>
  <c r="Q164" i="1" s="1"/>
  <c r="P164" i="1" s="1"/>
  <c r="O164" i="1" s="1"/>
  <c r="N164" i="1" s="1"/>
  <c r="M164" i="1" s="1"/>
  <c r="L164" i="1" s="1"/>
  <c r="K164" i="1" s="1"/>
  <c r="J164" i="1" s="1"/>
  <c r="I164" i="1" s="1"/>
  <c r="H164" i="1" s="1"/>
  <c r="G164" i="1" s="1"/>
  <c r="F164" i="1" s="1"/>
  <c r="E164" i="1" s="1"/>
  <c r="D164" i="1" s="1"/>
  <c r="C164" i="1" s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AN161" i="1"/>
  <c r="AN160" i="1"/>
  <c r="AN159" i="1"/>
  <c r="AN158" i="1"/>
  <c r="AN157" i="1"/>
  <c r="AN230" i="1" s="1"/>
  <c r="AN156" i="1"/>
  <c r="AN155" i="1"/>
  <c r="AN220" i="1" s="1"/>
  <c r="AL153" i="1"/>
  <c r="AK153" i="1"/>
  <c r="AJ153" i="1" s="1"/>
  <c r="AI153" i="1" s="1"/>
  <c r="AH153" i="1" s="1"/>
  <c r="AG153" i="1" s="1"/>
  <c r="AF153" i="1" s="1"/>
  <c r="AE153" i="1" s="1"/>
  <c r="AD153" i="1" s="1"/>
  <c r="AC153" i="1" s="1"/>
  <c r="AB153" i="1" s="1"/>
  <c r="AA153" i="1" s="1"/>
  <c r="Z153" i="1" s="1"/>
  <c r="Y153" i="1" s="1"/>
  <c r="X153" i="1" s="1"/>
  <c r="W153" i="1" s="1"/>
  <c r="V153" i="1" s="1"/>
  <c r="U153" i="1" s="1"/>
  <c r="T153" i="1" s="1"/>
  <c r="S153" i="1" s="1"/>
  <c r="R153" i="1" s="1"/>
  <c r="Q153" i="1" s="1"/>
  <c r="P153" i="1" s="1"/>
  <c r="O153" i="1" s="1"/>
  <c r="N153" i="1" s="1"/>
  <c r="M153" i="1" s="1"/>
  <c r="L153" i="1" s="1"/>
  <c r="K153" i="1" s="1"/>
  <c r="J153" i="1" s="1"/>
  <c r="I153" i="1" s="1"/>
  <c r="H153" i="1" s="1"/>
  <c r="G153" i="1" s="1"/>
  <c r="F153" i="1" s="1"/>
  <c r="E153" i="1" s="1"/>
  <c r="D153" i="1" s="1"/>
  <c r="C153" i="1" s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AN149" i="1"/>
  <c r="AN148" i="1"/>
  <c r="AN147" i="1"/>
  <c r="AN146" i="1"/>
  <c r="AN145" i="1"/>
  <c r="AN144" i="1"/>
  <c r="AN143" i="1"/>
  <c r="AN142" i="1"/>
  <c r="AN141" i="1"/>
  <c r="AN140" i="1"/>
  <c r="AN139" i="1"/>
  <c r="AN138" i="1"/>
  <c r="AN137" i="1"/>
  <c r="AN136" i="1"/>
  <c r="AN135" i="1"/>
  <c r="AN134" i="1"/>
  <c r="AN133" i="1"/>
  <c r="AN132" i="1"/>
  <c r="AN131" i="1"/>
  <c r="AN130" i="1"/>
  <c r="AN129" i="1"/>
  <c r="AN128" i="1"/>
  <c r="AN127" i="1"/>
  <c r="AN126" i="1"/>
  <c r="AN125" i="1"/>
  <c r="AN124" i="1"/>
  <c r="AN123" i="1"/>
  <c r="AN122" i="1"/>
  <c r="AN121" i="1"/>
  <c r="AN120" i="1"/>
  <c r="AN119" i="1"/>
  <c r="AN11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L89" i="1"/>
  <c r="AK89" i="1" s="1"/>
  <c r="AJ89" i="1" s="1"/>
  <c r="AI89" i="1" s="1"/>
  <c r="AH89" i="1" s="1"/>
  <c r="AG89" i="1" s="1"/>
  <c r="AF89" i="1" s="1"/>
  <c r="AE89" i="1" s="1"/>
  <c r="AD89" i="1" s="1"/>
  <c r="AC89" i="1" s="1"/>
  <c r="AB89" i="1" s="1"/>
  <c r="AA89" i="1" s="1"/>
  <c r="Z89" i="1" s="1"/>
  <c r="Y89" i="1" s="1"/>
  <c r="X89" i="1" s="1"/>
  <c r="W89" i="1" s="1"/>
  <c r="V89" i="1" s="1"/>
  <c r="U89" i="1" s="1"/>
  <c r="T89" i="1" s="1"/>
  <c r="S89" i="1" s="1"/>
  <c r="R89" i="1" s="1"/>
  <c r="Q89" i="1" s="1"/>
  <c r="P89" i="1" s="1"/>
  <c r="O89" i="1" s="1"/>
  <c r="N89" i="1" s="1"/>
  <c r="M89" i="1" s="1"/>
  <c r="L89" i="1" s="1"/>
  <c r="K89" i="1" s="1"/>
  <c r="J89" i="1" s="1"/>
  <c r="I89" i="1" s="1"/>
  <c r="H89" i="1" s="1"/>
  <c r="G89" i="1" s="1"/>
  <c r="F89" i="1" s="1"/>
  <c r="E89" i="1" s="1"/>
  <c r="D89" i="1" s="1"/>
  <c r="C89" i="1" s="1"/>
  <c r="AM87" i="1"/>
  <c r="AL87" i="1"/>
  <c r="AK87" i="1"/>
  <c r="AJ87" i="1"/>
  <c r="AI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N86" i="1"/>
  <c r="AN85" i="1"/>
  <c r="AH84" i="1"/>
  <c r="AH233" i="1" s="1"/>
  <c r="AG84" i="1"/>
  <c r="AG233" i="1" s="1"/>
  <c r="AN83" i="1"/>
  <c r="AN82" i="1"/>
  <c r="AN81" i="1"/>
  <c r="AN80" i="1"/>
  <c r="AH79" i="1"/>
  <c r="AG79" i="1"/>
  <c r="AN78" i="1"/>
  <c r="AN234" i="1" s="1"/>
  <c r="AN77" i="1"/>
  <c r="AN76" i="1"/>
  <c r="AN75" i="1"/>
  <c r="AN74" i="1"/>
  <c r="AN73" i="1"/>
  <c r="AN72" i="1"/>
  <c r="AN71" i="1"/>
  <c r="AN70" i="1"/>
  <c r="AN236" i="1" s="1"/>
  <c r="AN69" i="1"/>
  <c r="AN68" i="1"/>
  <c r="AN67" i="1"/>
  <c r="AN66" i="1"/>
  <c r="AL64" i="1"/>
  <c r="AK64" i="1"/>
  <c r="AJ64" i="1" s="1"/>
  <c r="AI64" i="1" s="1"/>
  <c r="AH64" i="1" s="1"/>
  <c r="AG64" i="1" s="1"/>
  <c r="AF64" i="1" s="1"/>
  <c r="AE64" i="1" s="1"/>
  <c r="AD64" i="1" s="1"/>
  <c r="AC64" i="1" s="1"/>
  <c r="AB64" i="1" s="1"/>
  <c r="AA64" i="1" s="1"/>
  <c r="Z64" i="1" s="1"/>
  <c r="Y64" i="1" s="1"/>
  <c r="X64" i="1" s="1"/>
  <c r="W64" i="1" s="1"/>
  <c r="V64" i="1" s="1"/>
  <c r="U64" i="1" s="1"/>
  <c r="T64" i="1" s="1"/>
  <c r="S64" i="1" s="1"/>
  <c r="R64" i="1" s="1"/>
  <c r="Q64" i="1" s="1"/>
  <c r="P64" i="1" s="1"/>
  <c r="O64" i="1" s="1"/>
  <c r="N64" i="1" s="1"/>
  <c r="M64" i="1" s="1"/>
  <c r="L64" i="1" s="1"/>
  <c r="K64" i="1" s="1"/>
  <c r="J64" i="1" s="1"/>
  <c r="I64" i="1" s="1"/>
  <c r="H64" i="1" s="1"/>
  <c r="G64" i="1" s="1"/>
  <c r="F64" i="1" s="1"/>
  <c r="E64" i="1" s="1"/>
  <c r="D64" i="1" s="1"/>
  <c r="C64" i="1" s="1"/>
  <c r="AM62" i="1"/>
  <c r="AL62" i="1"/>
  <c r="AJ62" i="1"/>
  <c r="AI62" i="1"/>
  <c r="AI209" i="1" s="1"/>
  <c r="AG62" i="1"/>
  <c r="AF62" i="1"/>
  <c r="AE62" i="1"/>
  <c r="AE209" i="1" s="1"/>
  <c r="AD62" i="1"/>
  <c r="AC62" i="1"/>
  <c r="AC209" i="1" s="1"/>
  <c r="AB62" i="1"/>
  <c r="AA62" i="1"/>
  <c r="AA209" i="1" s="1"/>
  <c r="Z62" i="1"/>
  <c r="Y62" i="1"/>
  <c r="Y209" i="1" s="1"/>
  <c r="X62" i="1"/>
  <c r="W62" i="1"/>
  <c r="V62" i="1"/>
  <c r="U62" i="1"/>
  <c r="U209" i="1" s="1"/>
  <c r="S62" i="1"/>
  <c r="S209" i="1" s="1"/>
  <c r="O62" i="1"/>
  <c r="N62" i="1"/>
  <c r="K62" i="1"/>
  <c r="K209" i="1" s="1"/>
  <c r="J62" i="1"/>
  <c r="H62" i="1"/>
  <c r="G62" i="1"/>
  <c r="G209" i="1" s="1"/>
  <c r="F62" i="1"/>
  <c r="E62" i="1"/>
  <c r="E209" i="1" s="1"/>
  <c r="D62" i="1"/>
  <c r="C62" i="1"/>
  <c r="C209" i="1" s="1"/>
  <c r="AN60" i="1"/>
  <c r="AN59" i="1"/>
  <c r="AN58" i="1"/>
  <c r="AN57" i="1"/>
  <c r="AN56" i="1"/>
  <c r="AN55" i="1"/>
  <c r="P54" i="1"/>
  <c r="AN54" i="1" s="1"/>
  <c r="AN53" i="1"/>
  <c r="AN52" i="1"/>
  <c r="AN51" i="1"/>
  <c r="AN50" i="1"/>
  <c r="R49" i="1"/>
  <c r="R227" i="1" s="1"/>
  <c r="R241" i="1" s="1"/>
  <c r="Q49" i="1"/>
  <c r="Q227" i="1" s="1"/>
  <c r="Q241" i="1" s="1"/>
  <c r="P49" i="1"/>
  <c r="AN49" i="1" s="1"/>
  <c r="AN48" i="1"/>
  <c r="AN47" i="1"/>
  <c r="AN46" i="1"/>
  <c r="AN45" i="1"/>
  <c r="AN44" i="1"/>
  <c r="AN43" i="1"/>
  <c r="L42" i="1"/>
  <c r="AN41" i="1"/>
  <c r="AG40" i="1"/>
  <c r="M40" i="1"/>
  <c r="M227" i="1" s="1"/>
  <c r="M241" i="1" s="1"/>
  <c r="AK39" i="1"/>
  <c r="AK227" i="1" s="1"/>
  <c r="AK241" i="1" s="1"/>
  <c r="AH38" i="1"/>
  <c r="R38" i="1"/>
  <c r="Q38" i="1"/>
  <c r="Q62" i="1" s="1"/>
  <c r="Q209" i="1" s="1"/>
  <c r="P38" i="1"/>
  <c r="AN38" i="1" s="1"/>
  <c r="AN37" i="1"/>
  <c r="W37" i="1"/>
  <c r="AN36" i="1"/>
  <c r="AN35" i="1"/>
  <c r="T34" i="1"/>
  <c r="R34" i="1"/>
  <c r="R228" i="1" s="1"/>
  <c r="Q34" i="1"/>
  <c r="P34" i="1"/>
  <c r="M34" i="1"/>
  <c r="L34" i="1"/>
  <c r="AN34" i="1" s="1"/>
  <c r="AN33" i="1"/>
  <c r="AN32" i="1"/>
  <c r="AN31" i="1"/>
  <c r="AN30" i="1"/>
  <c r="AN29" i="1"/>
  <c r="AN28" i="1"/>
  <c r="AN27" i="1"/>
  <c r="W26" i="1"/>
  <c r="P26" i="1"/>
  <c r="L26" i="1"/>
  <c r="AN25" i="1"/>
  <c r="AN24" i="1"/>
  <c r="AN23" i="1"/>
  <c r="AN22" i="1"/>
  <c r="AN21" i="1"/>
  <c r="AN20" i="1"/>
  <c r="AN19" i="1"/>
  <c r="P19" i="1"/>
  <c r="AN18" i="1"/>
  <c r="AN17" i="1"/>
  <c r="AN16" i="1"/>
  <c r="AN15" i="1"/>
  <c r="AN14" i="1"/>
  <c r="L13" i="1"/>
  <c r="L212" i="1" s="1"/>
  <c r="AN12" i="1"/>
  <c r="AN11" i="1"/>
  <c r="I10" i="1"/>
  <c r="AN9" i="1"/>
  <c r="AN8" i="1"/>
  <c r="AN7" i="1"/>
  <c r="AL5" i="1"/>
  <c r="AK5" i="1" s="1"/>
  <c r="AJ5" i="1" s="1"/>
  <c r="AI5" i="1" s="1"/>
  <c r="AH5" i="1" s="1"/>
  <c r="AG5" i="1" s="1"/>
  <c r="AF5" i="1" s="1"/>
  <c r="AE5" i="1" s="1"/>
  <c r="AD5" i="1" s="1"/>
  <c r="AC5" i="1" s="1"/>
  <c r="AB5" i="1" s="1"/>
  <c r="AA5" i="1" s="1"/>
  <c r="Z5" i="1" s="1"/>
  <c r="Y5" i="1" s="1"/>
  <c r="X5" i="1" s="1"/>
  <c r="W5" i="1" s="1"/>
  <c r="V5" i="1" s="1"/>
  <c r="U5" i="1" s="1"/>
  <c r="T5" i="1" s="1"/>
  <c r="S5" i="1" s="1"/>
  <c r="R5" i="1" s="1"/>
  <c r="Q5" i="1" s="1"/>
  <c r="P5" i="1" s="1"/>
  <c r="O5" i="1" s="1"/>
  <c r="N5" i="1" s="1"/>
  <c r="M5" i="1" s="1"/>
  <c r="L5" i="1" s="1"/>
  <c r="K5" i="1" s="1"/>
  <c r="J5" i="1" s="1"/>
  <c r="I5" i="1" s="1"/>
  <c r="H5" i="1" s="1"/>
  <c r="G5" i="1" s="1"/>
  <c r="F5" i="1" s="1"/>
  <c r="E5" i="1" s="1"/>
  <c r="D5" i="1" s="1"/>
  <c r="C5" i="1" s="1"/>
  <c r="I227" i="1" l="1"/>
  <c r="I241" i="1" s="1"/>
  <c r="I212" i="1"/>
  <c r="P228" i="1"/>
  <c r="P212" i="1"/>
  <c r="AK62" i="1"/>
  <c r="AH232" i="1"/>
  <c r="AH218" i="1"/>
  <c r="AH223" i="1" s="1"/>
  <c r="AH211" i="1"/>
  <c r="AN84" i="1"/>
  <c r="AN233" i="1" s="1"/>
  <c r="AH87" i="1"/>
  <c r="AN162" i="1"/>
  <c r="AK212" i="1"/>
  <c r="R212" i="1"/>
  <c r="AN26" i="1"/>
  <c r="AH228" i="1"/>
  <c r="AH212" i="1"/>
  <c r="AN40" i="1"/>
  <c r="L227" i="1"/>
  <c r="L241" i="1" s="1"/>
  <c r="I62" i="1"/>
  <c r="I209" i="1" s="1"/>
  <c r="M62" i="1"/>
  <c r="M209" i="1" s="1"/>
  <c r="AN10" i="1"/>
  <c r="AN62" i="1" s="1"/>
  <c r="AN13" i="1"/>
  <c r="AN214" i="1"/>
  <c r="P227" i="1"/>
  <c r="P241" i="1" s="1"/>
  <c r="L228" i="1"/>
  <c r="W228" i="1"/>
  <c r="W212" i="1"/>
  <c r="M228" i="1"/>
  <c r="M212" i="1"/>
  <c r="Q228" i="1"/>
  <c r="Q212" i="1"/>
  <c r="T228" i="1"/>
  <c r="T212" i="1"/>
  <c r="AN39" i="1"/>
  <c r="AG227" i="1"/>
  <c r="AG241" i="1" s="1"/>
  <c r="AG212" i="1"/>
  <c r="AN42" i="1"/>
  <c r="AN227" i="1"/>
  <c r="D209" i="1"/>
  <c r="F209" i="1"/>
  <c r="H209" i="1"/>
  <c r="J209" i="1"/>
  <c r="L62" i="1"/>
  <c r="L209" i="1" s="1"/>
  <c r="N209" i="1"/>
  <c r="P62" i="1"/>
  <c r="P209" i="1" s="1"/>
  <c r="R62" i="1"/>
  <c r="T62" i="1"/>
  <c r="T209" i="1" s="1"/>
  <c r="V209" i="1"/>
  <c r="Z209" i="1"/>
  <c r="AB209" i="1"/>
  <c r="AD209" i="1"/>
  <c r="AF209" i="1"/>
  <c r="AH62" i="1"/>
  <c r="AH209" i="1" s="1"/>
  <c r="AL209" i="1"/>
  <c r="AN238" i="1"/>
  <c r="AG232" i="1"/>
  <c r="AG218" i="1"/>
  <c r="AG223" i="1" s="1"/>
  <c r="AG211" i="1"/>
  <c r="AN79" i="1"/>
  <c r="AN211" i="1" s="1"/>
  <c r="AN239" i="1"/>
  <c r="O209" i="1"/>
  <c r="AG87" i="1"/>
  <c r="AG209" i="1" s="1"/>
  <c r="AN219" i="1"/>
  <c r="AN151" i="1"/>
  <c r="W205" i="1"/>
  <c r="W209" i="1" s="1"/>
  <c r="AK205" i="1"/>
  <c r="AM205" i="1"/>
  <c r="AM209" i="1" s="1"/>
  <c r="AN237" i="1"/>
  <c r="AN176" i="1"/>
  <c r="AK229" i="1"/>
  <c r="AN180" i="1"/>
  <c r="AN213" i="1" s="1"/>
  <c r="W229" i="1"/>
  <c r="AN188" i="1"/>
  <c r="AN228" i="1" s="1"/>
  <c r="R205" i="1"/>
  <c r="X205" i="1"/>
  <c r="X209" i="1" s="1"/>
  <c r="AJ205" i="1"/>
  <c r="AJ209" i="1" s="1"/>
  <c r="X212" i="1"/>
  <c r="AN232" i="1" l="1"/>
  <c r="R209" i="1"/>
  <c r="AN87" i="1"/>
  <c r="AN209" i="1" s="1"/>
  <c r="AN218" i="1"/>
  <c r="AN223" i="1" s="1"/>
  <c r="AK209" i="1"/>
  <c r="AN229" i="1"/>
  <c r="AN241" i="1" s="1"/>
  <c r="AN205" i="1"/>
  <c r="AN212" i="1"/>
</calcChain>
</file>

<file path=xl/comments1.xml><?xml version="1.0" encoding="utf-8"?>
<comments xmlns="http://schemas.openxmlformats.org/spreadsheetml/2006/main">
  <authors>
    <author>Tom Barnes</author>
    <author xml:space="preserve"> </author>
    <author xml:space="preserve">Tom </author>
  </authors>
  <commentList>
    <comment ref="P7" authorId="0">
      <text>
        <r>
          <rPr>
            <b/>
            <sz val="8"/>
            <color indexed="81"/>
            <rFont val="Tahoma"/>
            <family val="2"/>
          </rPr>
          <t>Est.</t>
        </r>
      </text>
    </comment>
    <comment ref="Q7" authorId="0">
      <text>
        <r>
          <rPr>
            <b/>
            <sz val="8"/>
            <color indexed="81"/>
            <rFont val="Tahoma"/>
            <family val="2"/>
          </rPr>
          <t>Est.</t>
        </r>
      </text>
    </comment>
    <comment ref="R7" authorId="0">
      <text>
        <r>
          <rPr>
            <b/>
            <sz val="8"/>
            <color indexed="81"/>
            <rFont val="Tahoma"/>
            <family val="2"/>
          </rPr>
          <t>Est.</t>
        </r>
      </text>
    </comment>
    <comment ref="AO19" authorId="1">
      <text>
        <r>
          <rPr>
            <sz val="10"/>
            <color indexed="81"/>
            <rFont val="Tahoma"/>
            <family val="2"/>
          </rPr>
          <t xml:space="preserve">Near LA/NE/WA Boundaries.
</t>
        </r>
      </text>
    </comment>
    <comment ref="AO21" authorId="1">
      <text>
        <r>
          <rPr>
            <sz val="10"/>
            <color indexed="81"/>
            <rFont val="Tahoma"/>
            <family val="2"/>
          </rPr>
          <t xml:space="preserve">Near LA/NE/WA Boundaries.
</t>
        </r>
      </text>
    </comment>
    <comment ref="AO22" authorId="1">
      <text>
        <r>
          <rPr>
            <sz val="10"/>
            <color indexed="81"/>
            <rFont val="Tahoma"/>
            <family val="2"/>
          </rPr>
          <t xml:space="preserve">Near LA/NE/WA Boundaries.
</t>
        </r>
      </text>
    </comment>
    <comment ref="AO55" authorId="1">
      <text>
        <r>
          <rPr>
            <sz val="10"/>
            <color indexed="81"/>
            <rFont val="Tahoma"/>
            <family val="2"/>
          </rPr>
          <t xml:space="preserve">Basin Location?
</t>
        </r>
      </text>
    </comment>
    <comment ref="A59" authorId="1">
      <text>
        <r>
          <rPr>
            <sz val="10"/>
            <color indexed="81"/>
            <rFont val="Tahoma"/>
            <family val="2"/>
          </rPr>
          <t>Pilot Test completed 2007.</t>
        </r>
      </text>
    </comment>
    <comment ref="AO59" authorId="1">
      <text>
        <r>
          <rPr>
            <sz val="10"/>
            <color indexed="81"/>
            <rFont val="Tahoma"/>
            <family val="2"/>
          </rPr>
          <t xml:space="preserve">NE or LA Basin?
</t>
        </r>
      </text>
    </comment>
    <comment ref="A60" authorId="1">
      <text>
        <r>
          <rPr>
            <sz val="10"/>
            <color indexed="81"/>
            <rFont val="Tahoma"/>
            <family val="2"/>
          </rPr>
          <t>Pilot Test began Jan 2008. Completed:   .</t>
        </r>
      </text>
    </comment>
    <comment ref="W62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X62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AO81" authorId="1">
      <text>
        <r>
          <rPr>
            <sz val="10"/>
            <color indexed="81"/>
            <rFont val="Tahoma"/>
            <family val="2"/>
          </rPr>
          <t xml:space="preserve">Randsburg-Castle Butte Basin?  Outside of AV Basin?
</t>
        </r>
      </text>
    </comment>
    <comment ref="A85" authorId="1">
      <text>
        <r>
          <rPr>
            <sz val="10"/>
            <color indexed="81"/>
            <rFont val="Tahoma"/>
            <family val="2"/>
          </rPr>
          <t xml:space="preserve">Pilot test program approved 2007.  Start date pending lowered THM from AVEK water. 
</t>
        </r>
      </text>
    </comment>
    <comment ref="AO97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98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99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0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1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2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3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4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5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6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7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8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09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10" authorId="1">
      <text>
        <r>
          <rPr>
            <sz val="10"/>
            <color indexed="81"/>
            <rFont val="Tahoma"/>
            <family val="2"/>
          </rPr>
          <t xml:space="preserve">Outside of AV Basin?
</t>
        </r>
      </text>
    </comment>
    <comment ref="AO180" authorId="2">
      <text>
        <r>
          <rPr>
            <b/>
            <sz val="8"/>
            <color indexed="81"/>
            <rFont val="Tahoma"/>
            <family val="2"/>
          </rPr>
          <t xml:space="preserve">Tom : 6/12/07
</t>
        </r>
        <r>
          <rPr>
            <sz val="8"/>
            <color indexed="81"/>
            <rFont val="Tahoma"/>
            <family val="2"/>
          </rPr>
          <t>Was FB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O181" authorId="2">
      <text>
        <r>
          <rPr>
            <b/>
            <sz val="8"/>
            <color indexed="81"/>
            <rFont val="Tahoma"/>
            <family val="2"/>
          </rPr>
          <t xml:space="preserve">Tom : 6/12/07
</t>
        </r>
        <r>
          <rPr>
            <sz val="8"/>
            <color indexed="81"/>
            <rFont val="Tahoma"/>
            <family val="2"/>
          </rPr>
          <t>Was FB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05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X205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J211" authorId="2">
      <text>
        <r>
          <rPr>
            <b/>
            <sz val="8"/>
            <color indexed="81"/>
            <rFont val="Tahoma"/>
            <family val="2"/>
          </rPr>
          <t>Tom : 5/4/06
Number Taken from 2005 Usage Table, PG6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12" authorId="2">
      <text>
        <r>
          <rPr>
            <b/>
            <sz val="8"/>
            <color indexed="81"/>
            <rFont val="Tahoma"/>
            <family val="2"/>
          </rPr>
          <t>Tom : 5/4/06
Number Taken from 2005 Usage Table, PG6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12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X212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W241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  <comment ref="X241" authorId="0">
      <text>
        <r>
          <rPr>
            <sz val="8"/>
            <color indexed="81"/>
            <rFont val="Tahoma"/>
            <family val="2"/>
          </rPr>
          <t>1991-1992 Farmer Pump-Back Program.</t>
        </r>
      </text>
    </comment>
  </commentList>
</comments>
</file>

<file path=xl/sharedStrings.xml><?xml version="1.0" encoding="utf-8"?>
<sst xmlns="http://schemas.openxmlformats.org/spreadsheetml/2006/main" count="2395" uniqueCount="349">
  <si>
    <t>AVEK Water Agency - Customer Water Use Report: 1976 thru 2012</t>
  </si>
  <si>
    <t xml:space="preserve">Water Deliveries (Acre-Feet)  - Location of AVEK Turnouts </t>
  </si>
  <si>
    <t>DATE:</t>
  </si>
  <si>
    <t xml:space="preserve">    NAME</t>
  </si>
  <si>
    <t>LOCATION</t>
  </si>
  <si>
    <t>TOTAL</t>
  </si>
  <si>
    <t>SUBUNIT</t>
  </si>
  <si>
    <t>COUNTY</t>
  </si>
  <si>
    <t>AVEK West Feeder</t>
  </si>
  <si>
    <t>CALIF DEPT OF PARKS &amp; REC</t>
  </si>
  <si>
    <t>AV CA. POPPY PRES 1.4R</t>
  </si>
  <si>
    <t>---</t>
  </si>
  <si>
    <t>LA</t>
  </si>
  <si>
    <t>LAC</t>
  </si>
  <si>
    <t>LARSEN, JOHNATHAN/HEALY FARMS</t>
  </si>
  <si>
    <t>160th W      1.4R</t>
  </si>
  <si>
    <t>CRYSTAL FARMS/LARSEN BROTHERS</t>
  </si>
  <si>
    <t>140th W      6.0L</t>
  </si>
  <si>
    <t>GRIMMWAY/FABE, JAMES/PHILLIP GIBA FARMS/TAPIA BROS.</t>
  </si>
  <si>
    <t>140th W      6.0R</t>
  </si>
  <si>
    <t>AVEK WSSP-2 RECHARGE SITE</t>
  </si>
  <si>
    <t>140th W      6.5L GWB</t>
  </si>
  <si>
    <t>140th W      6.5R GWB</t>
  </si>
  <si>
    <t>CALANDRI SONRISE FARMS/RITTER &amp; GODDE/TAPIA</t>
  </si>
  <si>
    <t>140th W      6.6R</t>
  </si>
  <si>
    <t>140th W  6.6R GWB</t>
  </si>
  <si>
    <t>CALANDRI SONRISE FARMS/RITTER &amp; GODDE</t>
  </si>
  <si>
    <t>140th W  6.6R(So)</t>
  </si>
  <si>
    <t>RITTER &amp; GODDE</t>
  </si>
  <si>
    <t>140th W      7.0L</t>
  </si>
  <si>
    <t>140th W      7.0L GWB</t>
  </si>
  <si>
    <t>TAPIA BROTHERS INC.</t>
  </si>
  <si>
    <t>140th W      7.0L1</t>
  </si>
  <si>
    <t>R&amp;R RANCH</t>
  </si>
  <si>
    <t>140TH W      7.5R</t>
  </si>
  <si>
    <t>140TH W      7.5R GWB</t>
  </si>
  <si>
    <t>CALANDRI SONRISE FARMS/TAPIA BROTHERS INC.</t>
  </si>
  <si>
    <t>140th W     7.5R1</t>
  </si>
  <si>
    <t>MARITORENA/(ALESSO)BIO GRO SYSTEMS</t>
  </si>
  <si>
    <t>140th W      7.6L</t>
  </si>
  <si>
    <t>AV Water Storage LLC</t>
  </si>
  <si>
    <t>140th W 8.9L GWB</t>
  </si>
  <si>
    <t>AV WATER STORGE LLC/VAN DAM FARMS/KELLY RANCH</t>
  </si>
  <si>
    <t>140th W     9.0LA</t>
  </si>
  <si>
    <t>NE</t>
  </si>
  <si>
    <t>KC</t>
  </si>
  <si>
    <t>AV WATER STORGE LLC</t>
  </si>
  <si>
    <t>140th W     9.0LA GWB</t>
  </si>
  <si>
    <t>AVWS LLC/KERN RIDGE/PETER RABBIT/RUMAR (BAICY)</t>
  </si>
  <si>
    <t>140th W    9.0LB</t>
  </si>
  <si>
    <t>140th W    9.0LB GWB</t>
  </si>
  <si>
    <t>PHILIP GIBA FARMS</t>
  </si>
  <si>
    <t>140th W     9.0LB1</t>
  </si>
  <si>
    <t>VAN DAM FARMS</t>
  </si>
  <si>
    <t>140th W     9.0LB2</t>
  </si>
  <si>
    <t>DIAMOND FARMING CO</t>
  </si>
  <si>
    <t>140th W     9.0LB3</t>
  </si>
  <si>
    <t>140th W    9.0LC GWB</t>
  </si>
  <si>
    <t>AV WATER STORGE LLC/VAN DAM FARMS/TAPIA BROS.</t>
  </si>
  <si>
    <t>140th W     9.0LD</t>
  </si>
  <si>
    <t>140th W     9.0LD GWB</t>
  </si>
  <si>
    <t>TOMPKINS, SHEREE/IARUSSI, ARMANDO</t>
  </si>
  <si>
    <t>125th W    10.5LA   1"</t>
  </si>
  <si>
    <t>CRYSTAL FARMS/DIAMOND FARMING</t>
  </si>
  <si>
    <t>125th W (So) 10.5LA  10"</t>
  </si>
  <si>
    <t>CRYSTAL FARMS/DIAMOND FARMING/BOZIGIAN</t>
  </si>
  <si>
    <t>125th W (M) 10.5LA1 12"</t>
  </si>
  <si>
    <t>GRIMMWAY/DIAMOND FARMING/BOZIGIAN</t>
  </si>
  <si>
    <t>125th W (No) 10.5LB  12"</t>
  </si>
  <si>
    <t>HARTER, SCOTT/WEAVER</t>
  </si>
  <si>
    <t>120th W      10.8L</t>
  </si>
  <si>
    <t>HUGHES DEV. CORP.</t>
  </si>
  <si>
    <t>115th W    11.6R</t>
  </si>
  <si>
    <t>PETER RABBIT FARMS/TAPIA BROS INC.</t>
  </si>
  <si>
    <t>115th W    11.6R2</t>
  </si>
  <si>
    <t>115th W    11.6R3</t>
  </si>
  <si>
    <t>CALANDRI SONRISE/BISCAICHIPY/MITCHELL &amp; GUNNING</t>
  </si>
  <si>
    <t>107th W     12.3R1</t>
  </si>
  <si>
    <t>BOLTHOUSE/PETER RABBIT FARMS</t>
  </si>
  <si>
    <t>107th W     12.3R2</t>
  </si>
  <si>
    <t>HARTER, SCOTT/WILMAR FARMS</t>
  </si>
  <si>
    <t>105th W     12.5L</t>
  </si>
  <si>
    <t>CALANDRI SONRISE FARMS/BISCAICHIPY  RANCH</t>
  </si>
  <si>
    <t>100th W     13.0R</t>
  </si>
  <si>
    <t>90th W     13.8R</t>
  </si>
  <si>
    <t>CALANDRI SONRISE FARMS/STONER</t>
  </si>
  <si>
    <t>90th W (NE) 13.9L</t>
  </si>
  <si>
    <t>90th W (SE) 13.9R</t>
  </si>
  <si>
    <t>80th W 14.9R1(S)</t>
  </si>
  <si>
    <t>BEERY, RAY</t>
  </si>
  <si>
    <t>80th W   14.9R2 (N)</t>
  </si>
  <si>
    <t>CALANDRI SONRISE FARMS/BEERY, RAY/WHEELER</t>
  </si>
  <si>
    <t>72nd W     15.7L</t>
  </si>
  <si>
    <t>CALANDRI SONRISE/TAPIA BROTHERS INC./STONER</t>
  </si>
  <si>
    <t>65th W     16.5R</t>
  </si>
  <si>
    <t>CALANDRI SONRISE FARMS/CALANDRI</t>
  </si>
  <si>
    <t>62nd W     16.7L</t>
  </si>
  <si>
    <t>BISCAICHIPY  RANCH</t>
  </si>
  <si>
    <t>42nd W     20.2L</t>
  </si>
  <si>
    <t>PHILIP GIBA FARMS/BISCAICHIPY  RANCH</t>
  </si>
  <si>
    <t>42nd W     20.2L (BISC)</t>
  </si>
  <si>
    <t>PETER RABBIT FARMS</t>
  </si>
  <si>
    <t>42nd W     20.2L1</t>
  </si>
  <si>
    <t>ROSAMOND CSD</t>
  </si>
  <si>
    <t>35th W     21.5L</t>
  </si>
  <si>
    <t>ASSOC. OF IRRIGATION WATER USERS</t>
  </si>
  <si>
    <t>35th W     21.7L</t>
  </si>
  <si>
    <t>AVEK PILOT RECHARGE SITE</t>
  </si>
  <si>
    <t>100th ST W &amp; GASKELL (PRS2)</t>
  </si>
  <si>
    <t>137th ST W &amp; AVE B-6 (6.6R)</t>
  </si>
  <si>
    <t>TOTAL (AF)</t>
  </si>
  <si>
    <t xml:space="preserve">   NAME</t>
  </si>
  <si>
    <t xml:space="preserve">AVEK North Feeder </t>
  </si>
  <si>
    <t>PORTANOVA</t>
  </si>
  <si>
    <t/>
  </si>
  <si>
    <t>34th W &amp; FELSITE</t>
  </si>
  <si>
    <t>25th W &amp; FELSITE</t>
  </si>
  <si>
    <t>SIERRA HWY</t>
  </si>
  <si>
    <t>MOJAVE PUD</t>
  </si>
  <si>
    <t>MPS</t>
  </si>
  <si>
    <t>CH</t>
  </si>
  <si>
    <t>SHELL EXP SEWELL/BILLITON EXPL USA</t>
  </si>
  <si>
    <t>FWY 14 (#B6500002)</t>
  </si>
  <si>
    <t>GL</t>
  </si>
  <si>
    <t>HIER'S MARKET</t>
  </si>
  <si>
    <t>CAL PORTLAND</t>
  </si>
  <si>
    <t>EAFB:650ABW/CERF</t>
  </si>
  <si>
    <t>ROSAMOND BLVD &amp; HWY 58</t>
  </si>
  <si>
    <t>DESERT SAGE APART/PONCEDELEON</t>
  </si>
  <si>
    <t>NF2</t>
  </si>
  <si>
    <t>NM</t>
  </si>
  <si>
    <t>EDGEMONT ACRES MWC INC.</t>
  </si>
  <si>
    <t>CLAY MINE RD</t>
  </si>
  <si>
    <t>DESERT LAKES CSD</t>
  </si>
  <si>
    <t>BORAX RD</t>
  </si>
  <si>
    <t>FPL ENERGY(LUZ SOLAR)/KJC COMPANY</t>
  </si>
  <si>
    <t>SB</t>
  </si>
  <si>
    <t>US BORAX</t>
  </si>
  <si>
    <t>BORON CSD</t>
  </si>
  <si>
    <t>BORON PS (METER HEAD)</t>
  </si>
  <si>
    <t>SOUTH OF BORON</t>
  </si>
  <si>
    <t>??</t>
  </si>
  <si>
    <t>SNIP(LACWWD)</t>
  </si>
  <si>
    <t xml:space="preserve">80th St W &amp; Avenue H </t>
  </si>
  <si>
    <t>SNIP (RWTP)</t>
  </si>
  <si>
    <t>SNIP Pump Station</t>
  </si>
  <si>
    <t>CITY OF CALIFORNIA CITY</t>
  </si>
  <si>
    <t>CAL CITY BLVD</t>
  </si>
  <si>
    <t>CC</t>
  </si>
  <si>
    <t xml:space="preserve">BORON CSD ASR RECHARGE SITE </t>
  </si>
  <si>
    <t>GEPHART RD.</t>
  </si>
  <si>
    <t xml:space="preserve">AVEK South Feeder </t>
  </si>
  <si>
    <t>LA COUNTY WWD  4-59 LVSP</t>
  </si>
  <si>
    <t>60th &amp; N-2</t>
  </si>
  <si>
    <t>PACIFIC LAND/SEE YU LIANG WU/FREUND</t>
  </si>
  <si>
    <t>WEST OF LVPS, 60th W</t>
  </si>
  <si>
    <t>KUETE, LES</t>
  </si>
  <si>
    <t>GODDE HILL RD No.OF AQ</t>
  </si>
  <si>
    <t>LANE, FRANCES/HUGHES</t>
  </si>
  <si>
    <t>LV FEEDER</t>
  </si>
  <si>
    <t>BUTLER, BRAD</t>
  </si>
  <si>
    <t>LV FEEDER, NORTH OF REYES</t>
  </si>
  <si>
    <t>LANE, FRANK      LV</t>
  </si>
  <si>
    <t>GODDE HILL RD So.OF AQ</t>
  </si>
  <si>
    <t>RANCHO COLIMA MBA/TRAVIS SEARCY</t>
  </si>
  <si>
    <t>RCMBA/DURE-SMIH/ERSTAD</t>
  </si>
  <si>
    <t>SHAFER, GARY/RITTER RANCH/CRUM</t>
  </si>
  <si>
    <t>LK ELIZ @ GODDE HILL</t>
  </si>
  <si>
    <t>KARLESKINT-CRUM, INC.</t>
  </si>
  <si>
    <t>70st W:No of ELIZ LK RD</t>
  </si>
  <si>
    <t>KELLERMAN, PAT</t>
  </si>
  <si>
    <t>MILLER, KEITH</t>
  </si>
  <si>
    <t>75th W. &amp; ELIZ LK RD</t>
  </si>
  <si>
    <t>KIRKPATRICK, VANCE</t>
  </si>
  <si>
    <t>MILFORD, TERRY</t>
  </si>
  <si>
    <t>BOLIN, DARIK/ROSEN</t>
  </si>
  <si>
    <t>COSOLA/ROBBINS</t>
  </si>
  <si>
    <t>75th W.</t>
  </si>
  <si>
    <t>CASTRONOVA, DANIEL</t>
  </si>
  <si>
    <t>77th W. &amp; ELIZ (HERMAN)</t>
  </si>
  <si>
    <t>JAQUES, EARL/SILVA/FREATMAN</t>
  </si>
  <si>
    <t>SILVA 78th W. &amp; ELIZ LK RD</t>
  </si>
  <si>
    <t>COPELAND, ALLEN/LEONA VALLEY ESTATES</t>
  </si>
  <si>
    <t>81st W. &amp; ELIZ LK RD</t>
  </si>
  <si>
    <t>NISHINO/KHOUGAER/SD MANG./PULSIPHER</t>
  </si>
  <si>
    <t>CALIFORNIA WATER SERVICE/AV WATER CO.</t>
  </si>
  <si>
    <t>90th W. &amp; ELIZ LK RD</t>
  </si>
  <si>
    <t>PWD</t>
  </si>
  <si>
    <t>LA COUNTY WWD      34-9</t>
  </si>
  <si>
    <t>DIV &amp; AVE O-4</t>
  </si>
  <si>
    <t>AV COUNTRY CLUB</t>
  </si>
  <si>
    <t>5th ST. W &amp; O-4</t>
  </si>
  <si>
    <t>LA COUNTY WWD     34-7</t>
  </si>
  <si>
    <t>10th ST. W &amp; O-4</t>
  </si>
  <si>
    <t>WESTSIDE PARK MWC</t>
  </si>
  <si>
    <t>10th ST. W &amp; O</t>
  </si>
  <si>
    <t>EL DORADO MWC</t>
  </si>
  <si>
    <t>10th W &amp; N-4</t>
  </si>
  <si>
    <t>LA COUNTY WWD     4-50</t>
  </si>
  <si>
    <t>10th W &amp; N</t>
  </si>
  <si>
    <t xml:space="preserve">LA COUNTY WWD M&amp;7TH </t>
  </si>
  <si>
    <t>7th W &amp; M</t>
  </si>
  <si>
    <t>LA COUNTY WWD     4-66</t>
  </si>
  <si>
    <t>6th E &amp; M</t>
  </si>
  <si>
    <t>LANDALE MWC</t>
  </si>
  <si>
    <t>3rd E &amp; M</t>
  </si>
  <si>
    <t>LA COUNTY WWD  4-71</t>
  </si>
  <si>
    <t>M-8 &amp; SIERRA HWY</t>
  </si>
  <si>
    <t>WHITE FENCE FARMS MWC/WWF #1&amp;2</t>
  </si>
  <si>
    <t>20th W &amp; N (N)</t>
  </si>
  <si>
    <t>SHADOW ACRES MWC</t>
  </si>
  <si>
    <t>20th W &amp; N (S)</t>
  </si>
  <si>
    <t>WHITE FENCE FARMS  #3</t>
  </si>
  <si>
    <t>21th W &amp; N (S)</t>
  </si>
  <si>
    <t>SUNNYSIDE FARMS MWC</t>
  </si>
  <si>
    <t>30th W &amp; N (S)</t>
  </si>
  <si>
    <t>LA COUNTY WWD  4-70A</t>
  </si>
  <si>
    <t>45th W &amp; N-8 (SE)</t>
  </si>
  <si>
    <t>PALM RANCH ID</t>
  </si>
  <si>
    <t>45th W &amp; N (SE)</t>
  </si>
  <si>
    <t>QUARTZ HILL  WD</t>
  </si>
  <si>
    <t>50th W &amp; N (SE)</t>
  </si>
  <si>
    <t>50th W &amp; N (SW)</t>
  </si>
  <si>
    <t>GODDE, FORREST</t>
  </si>
  <si>
    <t>LANE, FRANK</t>
  </si>
  <si>
    <t>60th W &amp; L-11</t>
  </si>
  <si>
    <t>LA COUNTY WWD     4-53</t>
  </si>
  <si>
    <t>60th W &amp; L-12</t>
  </si>
  <si>
    <t>LA COUNTY WWD     4-56</t>
  </si>
  <si>
    <t>60th W &amp; M-8</t>
  </si>
  <si>
    <t>PALM RANCH    IG</t>
  </si>
  <si>
    <t>60th W &amp; M-8 (SE)</t>
  </si>
  <si>
    <t>LA COUNTY WWD     4-70</t>
  </si>
  <si>
    <t>60th W &amp; M-11</t>
  </si>
  <si>
    <t>LA COUNTY WWD 4-72</t>
  </si>
  <si>
    <t>75th &amp; M-8 (QHWD)</t>
  </si>
  <si>
    <t>70th W &amp; M-8 (SW)</t>
  </si>
  <si>
    <t>LACWWD ASR RECHARGE SITE 4-32</t>
  </si>
  <si>
    <t xml:space="preserve">5th West &amp; K-14 </t>
  </si>
  <si>
    <t>LACWWD ASR RECHARGE SITE 4-34</t>
  </si>
  <si>
    <t>5th West &amp; K-14</t>
  </si>
  <si>
    <t xml:space="preserve"> </t>
  </si>
  <si>
    <t>LACWWD ASR RECHARGE SITE 4-66</t>
  </si>
  <si>
    <t>Ave M &amp; 7th St West</t>
  </si>
  <si>
    <t>LACWWD ASR RECHARGE SITE 4-69</t>
  </si>
  <si>
    <t>LACWWD ASR RECHARGE SITE 4-63</t>
  </si>
  <si>
    <t xml:space="preserve">Ave K-8 &amp; Division </t>
  </si>
  <si>
    <t>LACWWD ASR RECHARGE SITE 4-64</t>
  </si>
  <si>
    <t>Ave K-8 &amp; Division</t>
  </si>
  <si>
    <t xml:space="preserve">LACWWD ASR RECHARGE SITE 4-5  </t>
  </si>
  <si>
    <t>Ave J &amp; Beech Ave</t>
  </si>
  <si>
    <t>LACWWD ASR RECHARGE SITE 4-17</t>
  </si>
  <si>
    <t>Trevor Ave &amp; Ovington St</t>
  </si>
  <si>
    <t>LACWWD ASR RECHARGE SITE 4-62</t>
  </si>
  <si>
    <t>Trevor Ave &amp; Milling St</t>
  </si>
  <si>
    <t>LACWWD ASR RECHARGE SITE 4-42</t>
  </si>
  <si>
    <t>LACWWD ASR RECHARGE SITE 4-13</t>
  </si>
  <si>
    <t>AVEK East Feeder</t>
  </si>
  <si>
    <t>LA COUNTY WWD     24-4</t>
  </si>
  <si>
    <t>@ 3.3 MG RESERVOIR</t>
  </si>
  <si>
    <t>PE</t>
  </si>
  <si>
    <t>116th ST EAST (HEAD)</t>
  </si>
  <si>
    <t>LA COUNTY WWD     33-3</t>
  </si>
  <si>
    <t>110th ST E &amp; R</t>
  </si>
  <si>
    <t>BU</t>
  </si>
  <si>
    <t>LA COUNTY WWD     38-6</t>
  </si>
  <si>
    <t>165th E &amp; O</t>
  </si>
  <si>
    <t>LA COUNTY WWD     38-5</t>
  </si>
  <si>
    <t>176th E &amp; O</t>
  </si>
  <si>
    <t>LA COUNTY WWD     38-4</t>
  </si>
  <si>
    <t>177th E &amp; N-12</t>
  </si>
  <si>
    <t xml:space="preserve">AVEK Lake Hughes Feeder </t>
  </si>
  <si>
    <t>LAKE ELIZABETH MWC</t>
  </si>
  <si>
    <t>WILLOW PS (AVEK)</t>
  </si>
  <si>
    <t>SC</t>
  </si>
  <si>
    <t>CALDWELL, DAVID/VAUGHT, AMELIA</t>
  </si>
  <si>
    <t>LK HUGHES FEEDER</t>
  </si>
  <si>
    <t>RIVERVIEW RANCH MWC/CLARK, DICK</t>
  </si>
  <si>
    <t xml:space="preserve">  NAME</t>
  </si>
  <si>
    <t xml:space="preserve">AVEK Acton Feeder  </t>
  </si>
  <si>
    <t>LA COUNTY WWD    37-10</t>
  </si>
  <si>
    <t>525 FOREST VIEW RD</t>
  </si>
  <si>
    <t>AVEK DWR (SWP) Turnouts</t>
  </si>
  <si>
    <t>TEJON RANCH COMPANY</t>
  </si>
  <si>
    <t xml:space="preserve">320th ST WEST </t>
  </si>
  <si>
    <t>WA</t>
  </si>
  <si>
    <t>294th ST WEST 24"</t>
  </si>
  <si>
    <t>HUGHES</t>
  </si>
  <si>
    <t>FUSON</t>
  </si>
  <si>
    <t>S &amp; D</t>
  </si>
  <si>
    <t>SCHNAIDT/COLE</t>
  </si>
  <si>
    <t>PEACHLAND FARMS</t>
  </si>
  <si>
    <t>235th ST WEST</t>
  </si>
  <si>
    <t>SIMI, ROY</t>
  </si>
  <si>
    <t>225th ST WEST</t>
  </si>
  <si>
    <t>VANDEREYK</t>
  </si>
  <si>
    <t>KLEKSTED TREE FARM</t>
  </si>
  <si>
    <t>RANCHO VISTA DEV.</t>
  </si>
  <si>
    <t>45th ST WEST</t>
  </si>
  <si>
    <t>ELIOPOULOS/J. HILLS TEMP (DWR)</t>
  </si>
  <si>
    <t>JOSHUA HILLS</t>
  </si>
  <si>
    <t>KAUFFMAN &amp; BROAD (RITTER)</t>
  </si>
  <si>
    <t>LEONA SIPHON</t>
  </si>
  <si>
    <t xml:space="preserve">CITY OF PALMDALE @ AMARGOSA CREEK </t>
  </si>
  <si>
    <t xml:space="preserve">UPPER AMARGOSA </t>
  </si>
  <si>
    <t>ANAVERDE/CITY RANCH</t>
  </si>
  <si>
    <t>30th WEST</t>
  </si>
  <si>
    <t>ANAVERDE</t>
  </si>
  <si>
    <t>20th WEST</t>
  </si>
  <si>
    <t>PALMDALE DISPOSAL CO.</t>
  </si>
  <si>
    <t>AVSWCA @ LITTLEROCK CREEK</t>
  </si>
  <si>
    <t>LITTLEROCK CREEK</t>
  </si>
  <si>
    <t>SCATTAGLIA FARMS/NORTHDALE ORCHARDS</t>
  </si>
  <si>
    <t>95th STREET EAST</t>
  </si>
  <si>
    <t>SCATTAGLIA FARMS/ALMONDALE FARMS</t>
  </si>
  <si>
    <t>96th STREET EAST</t>
  </si>
  <si>
    <t>SCATTAGLIA FARMS</t>
  </si>
  <si>
    <t>BIG ROCK SIPHON</t>
  </si>
  <si>
    <t>AVEK Water Deliveries - Totals</t>
  </si>
  <si>
    <t>ALL</t>
  </si>
  <si>
    <t>M &amp; I</t>
  </si>
  <si>
    <t>AG</t>
  </si>
  <si>
    <t>DIRECT GWB</t>
  </si>
  <si>
    <t xml:space="preserve"> IN-LIEU GWB</t>
  </si>
  <si>
    <t>AVEK Water Deliveries - Water Treatment Plants</t>
  </si>
  <si>
    <t xml:space="preserve">SUBUNIT </t>
  </si>
  <si>
    <t>Rosamond WTP</t>
  </si>
  <si>
    <t>Quartz Hill WTP</t>
  </si>
  <si>
    <t>Pearblossom WTP</t>
  </si>
  <si>
    <t>Acton WTP</t>
  </si>
  <si>
    <t xml:space="preserve">AVEK Water Deliveries - Groundwater Basins </t>
  </si>
  <si>
    <t xml:space="preserve">   BASIN SUBUNIT NAME</t>
  </si>
  <si>
    <t xml:space="preserve">Lancaster </t>
  </si>
  <si>
    <t>LAC/KC</t>
  </si>
  <si>
    <t xml:space="preserve">Neenach </t>
  </si>
  <si>
    <t>West Antelope</t>
  </si>
  <si>
    <t>Buttes</t>
  </si>
  <si>
    <t>FB</t>
  </si>
  <si>
    <t>Finger Buttes</t>
  </si>
  <si>
    <t>North Murdoc</t>
  </si>
  <si>
    <t>California City</t>
  </si>
  <si>
    <t>San Bernardino Co.</t>
  </si>
  <si>
    <t>SBC</t>
  </si>
  <si>
    <t>Santa Clara</t>
  </si>
  <si>
    <t>Chaffee</t>
  </si>
  <si>
    <t>Pearland</t>
  </si>
  <si>
    <t>Gloster</t>
  </si>
  <si>
    <t>OTHER</t>
  </si>
  <si>
    <t>Other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</si>
</sst>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_);\(0\)"/>
  </numFmts>
  <fonts count="17" x14ac:knownFonts="1">
    <font>
      <sz val="11"/>
      <color theme="1"/>
      <name val="Cambria"/>
      <family val="2"/>
    </font>
    <font>
      <b/>
      <sz val="16"/>
      <color theme="3"/>
      <name val="Arial"/>
      <family val="2"/>
    </font>
    <font>
      <sz val="16"/>
      <color theme="3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b/>
      <sz val="11"/>
      <color rgb="FF295F29"/>
      <name val="Arial"/>
      <family val="2"/>
    </font>
    <font>
      <sz val="11"/>
      <color rgb="FF295F29"/>
      <name val="Arial"/>
      <family val="2"/>
    </font>
    <font>
      <sz val="10"/>
      <color rgb="FF295F2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B050"/>
      <name val="Arial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37" fontId="1" fillId="2" borderId="0" xfId="0" applyNumberFormat="1" applyFont="1" applyFill="1" applyBorder="1" applyAlignment="1" applyProtection="1">
      <alignment horizontal="left"/>
    </xf>
    <xf numFmtId="37" fontId="1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 vertical="center"/>
    </xf>
    <xf numFmtId="37" fontId="2" fillId="2" borderId="0" xfId="0" applyNumberFormat="1" applyFont="1" applyFill="1" applyBorder="1" applyAlignment="1" applyProtection="1">
      <alignment horizontal="right" vertical="center"/>
      <protection locked="0"/>
    </xf>
    <xf numFmtId="37" fontId="2" fillId="2" borderId="1" xfId="0" applyNumberFormat="1" applyFont="1" applyFill="1" applyBorder="1" applyAlignment="1" applyProtection="1">
      <alignment horizontal="right" vertical="center"/>
      <protection locked="0"/>
    </xf>
    <xf numFmtId="37" fontId="2" fillId="2" borderId="2" xfId="0" applyNumberFormat="1" applyFont="1" applyFill="1" applyBorder="1" applyAlignment="1">
      <alignment horizontal="right" vertical="center"/>
    </xf>
    <xf numFmtId="37" fontId="2" fillId="2" borderId="3" xfId="0" applyNumberFormat="1" applyFont="1" applyFill="1" applyBorder="1" applyAlignment="1">
      <alignment horizontal="right" vertical="center"/>
    </xf>
    <xf numFmtId="37" fontId="1" fillId="2" borderId="4" xfId="0" applyNumberFormat="1" applyFont="1" applyFill="1" applyBorder="1" applyAlignment="1" applyProtection="1">
      <alignment horizontal="left"/>
    </xf>
    <xf numFmtId="37" fontId="2" fillId="2" borderId="4" xfId="0" applyNumberFormat="1" applyFont="1" applyFill="1" applyBorder="1" applyAlignment="1">
      <alignment horizontal="right"/>
    </xf>
    <xf numFmtId="37" fontId="1" fillId="2" borderId="4" xfId="0" applyNumberFormat="1" applyFont="1" applyFill="1" applyBorder="1" applyAlignment="1" applyProtection="1">
      <alignment horizontal="right"/>
    </xf>
    <xf numFmtId="37" fontId="2" fillId="2" borderId="4" xfId="0" applyNumberFormat="1" applyFont="1" applyFill="1" applyBorder="1" applyAlignment="1">
      <alignment horizontal="right" vertical="center"/>
    </xf>
    <xf numFmtId="37" fontId="2" fillId="2" borderId="4" xfId="0" applyNumberFormat="1" applyFont="1" applyFill="1" applyBorder="1" applyAlignment="1" applyProtection="1">
      <alignment horizontal="right" vertical="center"/>
      <protection locked="0"/>
    </xf>
    <xf numFmtId="37" fontId="2" fillId="2" borderId="5" xfId="0" applyNumberFormat="1" applyFont="1" applyFill="1" applyBorder="1" applyAlignment="1" applyProtection="1">
      <alignment horizontal="right" vertical="center"/>
      <protection locked="0"/>
    </xf>
    <xf numFmtId="37" fontId="2" fillId="2" borderId="6" xfId="0" applyNumberFormat="1" applyFont="1" applyFill="1" applyBorder="1" applyAlignment="1">
      <alignment horizontal="right" vertical="center"/>
    </xf>
    <xf numFmtId="37" fontId="2" fillId="2" borderId="7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>
      <alignment horizontal="left"/>
    </xf>
    <xf numFmtId="37" fontId="4" fillId="2" borderId="0" xfId="0" applyNumberFormat="1" applyFont="1" applyFill="1" applyBorder="1" applyAlignment="1">
      <alignment horizontal="right"/>
    </xf>
    <xf numFmtId="37" fontId="4" fillId="2" borderId="0" xfId="0" applyNumberFormat="1" applyFont="1" applyFill="1" applyBorder="1" applyAlignment="1">
      <alignment horizontal="right" vertical="center"/>
    </xf>
    <xf numFmtId="37" fontId="4" fillId="2" borderId="0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>
      <alignment horizontal="right" vertical="center"/>
    </xf>
    <xf numFmtId="37" fontId="3" fillId="2" borderId="2" xfId="0" applyNumberFormat="1" applyFont="1" applyFill="1" applyBorder="1" applyAlignment="1" applyProtection="1">
      <alignment horizontal="right" vertical="center"/>
      <protection locked="0"/>
    </xf>
    <xf numFmtId="37" fontId="3" fillId="2" borderId="3" xfId="0" applyNumberFormat="1" applyFont="1" applyFill="1" applyBorder="1" applyAlignment="1" applyProtection="1">
      <alignment horizontal="right" vertical="center"/>
      <protection locked="0"/>
    </xf>
    <xf numFmtId="165" fontId="3" fillId="0" borderId="8" xfId="0" applyNumberFormat="1" applyFont="1" applyFill="1" applyBorder="1" applyAlignment="1" applyProtection="1">
      <alignment horizontal="center"/>
    </xf>
    <xf numFmtId="165" fontId="3" fillId="0" borderId="8" xfId="0" applyNumberFormat="1" applyFont="1" applyFill="1" applyBorder="1" applyAlignment="1" applyProtection="1">
      <alignment horizont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</xf>
    <xf numFmtId="165" fontId="3" fillId="0" borderId="9" xfId="0" applyNumberFormat="1" applyFont="1" applyFill="1" applyBorder="1" applyAlignment="1" applyProtection="1">
      <alignment horizontal="center" vertical="center"/>
    </xf>
    <xf numFmtId="165" fontId="3" fillId="0" borderId="10" xfId="0" applyNumberFormat="1" applyFont="1" applyFill="1" applyBorder="1" applyAlignment="1" applyProtection="1">
      <alignment horizontal="center" vertical="center"/>
    </xf>
    <xf numFmtId="165" fontId="3" fillId="0" borderId="11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/>
    <xf numFmtId="165" fontId="5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 vertical="center"/>
    </xf>
    <xf numFmtId="165" fontId="5" fillId="0" borderId="1" xfId="0" applyNumberFormat="1" applyFont="1" applyFill="1" applyBorder="1" applyAlignment="1" applyProtection="1">
      <alignment horizontal="right" vertical="center"/>
    </xf>
    <xf numFmtId="165" fontId="5" fillId="0" borderId="2" xfId="0" applyNumberFormat="1" applyFont="1" applyFill="1" applyBorder="1" applyAlignment="1" applyProtection="1">
      <alignment horizontal="right" vertical="center"/>
    </xf>
    <xf numFmtId="165" fontId="5" fillId="0" borderId="3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protection locked="0"/>
    </xf>
    <xf numFmtId="37" fontId="6" fillId="0" borderId="0" xfId="0" applyNumberFormat="1" applyFont="1" applyFill="1" applyBorder="1" applyAlignment="1" applyProtection="1">
      <alignment horizontal="right"/>
      <protection locked="0"/>
    </xf>
    <xf numFmtId="37" fontId="6" fillId="2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 applyProtection="1">
      <alignment horizontal="right" vertical="center"/>
      <protection locked="0"/>
    </xf>
    <xf numFmtId="37" fontId="6" fillId="0" borderId="0" xfId="0" quotePrefix="1" applyNumberFormat="1" applyFont="1" applyFill="1" applyBorder="1" applyAlignment="1" applyProtection="1">
      <alignment horizontal="right" vertical="center"/>
      <protection locked="0"/>
    </xf>
    <xf numFmtId="37" fontId="6" fillId="0" borderId="1" xfId="0" applyNumberFormat="1" applyFont="1" applyFill="1" applyBorder="1" applyAlignment="1" applyProtection="1">
      <alignment horizontal="right" vertical="center"/>
      <protection locked="0"/>
    </xf>
    <xf numFmtId="37" fontId="6" fillId="0" borderId="2" xfId="0" applyNumberFormat="1" applyFont="1" applyFill="1" applyBorder="1" applyAlignment="1" applyProtection="1">
      <alignment horizontal="right" vertical="center"/>
      <protection locked="0"/>
    </xf>
    <xf numFmtId="37" fontId="6" fillId="0" borderId="3" xfId="0" applyNumberFormat="1" applyFont="1" applyFill="1" applyBorder="1" applyAlignment="1" applyProtection="1">
      <alignment horizontal="right" vertical="center"/>
      <protection locked="0"/>
    </xf>
    <xf numFmtId="37" fontId="7" fillId="2" borderId="0" xfId="0" applyNumberFormat="1" applyFont="1" applyFill="1" applyBorder="1" applyAlignment="1" applyProtection="1">
      <protection locked="0"/>
    </xf>
    <xf numFmtId="37" fontId="6" fillId="2" borderId="0" xfId="0" applyNumberFormat="1" applyFont="1" applyFill="1" applyBorder="1" applyAlignment="1" applyProtection="1">
      <protection locked="0"/>
    </xf>
    <xf numFmtId="37" fontId="6" fillId="2" borderId="0" xfId="0" applyNumberFormat="1" applyFont="1" applyFill="1" applyBorder="1" applyAlignment="1" applyProtection="1">
      <alignment horizontal="right" vertical="center"/>
      <protection locked="0"/>
    </xf>
    <xf numFmtId="37" fontId="6" fillId="2" borderId="0" xfId="0" quotePrefix="1" applyNumberFormat="1" applyFont="1" applyFill="1" applyBorder="1" applyAlignment="1" applyProtection="1">
      <alignment horizontal="right" vertical="center"/>
      <protection locked="0"/>
    </xf>
    <xf numFmtId="37" fontId="6" fillId="2" borderId="1" xfId="0" applyNumberFormat="1" applyFont="1" applyFill="1" applyBorder="1" applyAlignment="1" applyProtection="1">
      <alignment horizontal="right" vertical="center"/>
      <protection locked="0"/>
    </xf>
    <xf numFmtId="37" fontId="6" fillId="2" borderId="2" xfId="0" applyNumberFormat="1" applyFont="1" applyFill="1" applyBorder="1" applyAlignment="1" applyProtection="1">
      <alignment horizontal="right" vertical="center"/>
      <protection locked="0"/>
    </xf>
    <xf numFmtId="37" fontId="6" fillId="2" borderId="3" xfId="0" applyNumberFormat="1" applyFont="1" applyFill="1" applyBorder="1" applyAlignment="1" applyProtection="1">
      <alignment horizontal="right" vertical="center"/>
      <protection locked="0"/>
    </xf>
    <xf numFmtId="165" fontId="6" fillId="2" borderId="0" xfId="0" applyNumberFormat="1" applyFont="1" applyFill="1" applyBorder="1" applyAlignment="1" applyProtection="1">
      <alignment horizontal="right" vertical="center"/>
    </xf>
    <xf numFmtId="37" fontId="6" fillId="0" borderId="0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37" fontId="6" fillId="2" borderId="0" xfId="0" applyNumberFormat="1" applyFont="1" applyFill="1" applyBorder="1" applyAlignment="1">
      <alignment horizontal="right"/>
    </xf>
    <xf numFmtId="37" fontId="6" fillId="2" borderId="0" xfId="0" applyNumberFormat="1" applyFont="1" applyFill="1" applyBorder="1" applyAlignment="1">
      <alignment horizontal="right" vertical="center"/>
    </xf>
    <xf numFmtId="37" fontId="6" fillId="0" borderId="0" xfId="0" quotePrefix="1" applyNumberFormat="1" applyFont="1" applyFill="1" applyBorder="1" applyAlignment="1" applyProtection="1">
      <alignment horizontal="right"/>
      <protection locked="0"/>
    </xf>
    <xf numFmtId="37" fontId="6" fillId="2" borderId="0" xfId="0" quotePrefix="1" applyNumberFormat="1" applyFont="1" applyFill="1" applyBorder="1" applyAlignment="1" applyProtection="1">
      <alignment horizontal="right"/>
      <protection locked="0"/>
    </xf>
    <xf numFmtId="37" fontId="6" fillId="0" borderId="0" xfId="0" applyNumberFormat="1" applyFont="1" applyFill="1" applyBorder="1" applyAlignment="1">
      <alignment horizontal="right" vertical="center"/>
    </xf>
    <xf numFmtId="37" fontId="6" fillId="2" borderId="0" xfId="0" quotePrefix="1" applyNumberFormat="1" applyFont="1" applyFill="1" applyBorder="1" applyAlignment="1" applyProtection="1">
      <protection locked="0"/>
    </xf>
    <xf numFmtId="37" fontId="6" fillId="2" borderId="4" xfId="0" applyNumberFormat="1" applyFont="1" applyFill="1" applyBorder="1" applyAlignment="1" applyProtection="1">
      <protection locked="0"/>
    </xf>
    <xf numFmtId="37" fontId="6" fillId="2" borderId="4" xfId="0" applyNumberFormat="1" applyFont="1" applyFill="1" applyBorder="1" applyAlignment="1" applyProtection="1">
      <alignment horizontal="right"/>
      <protection locked="0"/>
    </xf>
    <xf numFmtId="37" fontId="6" fillId="2" borderId="4" xfId="0" quotePrefix="1" applyNumberFormat="1" applyFont="1" applyFill="1" applyBorder="1" applyAlignment="1" applyProtection="1">
      <alignment horizontal="right" vertical="center"/>
      <protection locked="0"/>
    </xf>
    <xf numFmtId="37" fontId="6" fillId="2" borderId="5" xfId="0" applyNumberFormat="1" applyFont="1" applyFill="1" applyBorder="1" applyAlignment="1" applyProtection="1">
      <alignment horizontal="right" vertical="center"/>
      <protection locked="0"/>
    </xf>
    <xf numFmtId="37" fontId="6" fillId="2" borderId="6" xfId="0" applyNumberFormat="1" applyFont="1" applyFill="1" applyBorder="1" applyAlignment="1" applyProtection="1">
      <alignment horizontal="right" vertical="center"/>
      <protection locked="0"/>
    </xf>
    <xf numFmtId="37" fontId="6" fillId="2" borderId="7" xfId="0" applyNumberFormat="1" applyFont="1" applyFill="1" applyBorder="1" applyAlignment="1" applyProtection="1">
      <alignment horizontal="right" vertical="center"/>
      <protection locked="0"/>
    </xf>
    <xf numFmtId="37" fontId="5" fillId="2" borderId="0" xfId="0" applyNumberFormat="1" applyFont="1" applyFill="1" applyBorder="1" applyAlignment="1" applyProtection="1">
      <alignment horizontal="right"/>
      <protection locked="0"/>
    </xf>
    <xf numFmtId="37" fontId="5" fillId="2" borderId="1" xfId="0" applyNumberFormat="1" applyFont="1" applyFill="1" applyBorder="1" applyAlignment="1" applyProtection="1">
      <alignment horizontal="right"/>
      <protection locked="0"/>
    </xf>
    <xf numFmtId="37" fontId="5" fillId="2" borderId="2" xfId="0" applyNumberFormat="1" applyFont="1" applyFill="1" applyBorder="1" applyAlignment="1" applyProtection="1">
      <alignment horizontal="right" vertical="center"/>
      <protection locked="0"/>
    </xf>
    <xf numFmtId="37" fontId="5" fillId="2" borderId="3" xfId="0" applyNumberFormat="1" applyFont="1" applyFill="1" applyBorder="1" applyAlignment="1" applyProtection="1">
      <alignment horizontal="right" vertical="center"/>
      <protection locked="0"/>
    </xf>
    <xf numFmtId="37" fontId="8" fillId="2" borderId="0" xfId="0" applyNumberFormat="1" applyFont="1" applyFill="1" applyBorder="1" applyAlignment="1" applyProtection="1">
      <alignment horizontal="right"/>
      <protection locked="0"/>
    </xf>
    <xf numFmtId="37" fontId="9" fillId="2" borderId="0" xfId="0" applyNumberFormat="1" applyFont="1" applyFill="1" applyBorder="1" applyAlignment="1" applyProtection="1">
      <alignment horizontal="right"/>
      <protection locked="0"/>
    </xf>
    <xf numFmtId="37" fontId="10" fillId="2" borderId="0" xfId="0" applyNumberFormat="1" applyFont="1" applyFill="1" applyBorder="1" applyAlignment="1" applyProtection="1">
      <alignment horizontal="right"/>
      <protection locked="0"/>
    </xf>
    <xf numFmtId="37" fontId="10" fillId="2" borderId="0" xfId="0" quotePrefix="1" applyNumberFormat="1" applyFont="1" applyFill="1" applyBorder="1" applyAlignment="1" applyProtection="1">
      <alignment horizontal="right" vertical="center"/>
      <protection locked="0"/>
    </xf>
    <xf numFmtId="37" fontId="9" fillId="2" borderId="0" xfId="0" quotePrefix="1" applyNumberFormat="1" applyFont="1" applyFill="1" applyBorder="1" applyAlignment="1" applyProtection="1">
      <alignment horizontal="right" vertical="center"/>
      <protection locked="0"/>
    </xf>
    <xf numFmtId="37" fontId="8" fillId="2" borderId="1" xfId="0" applyNumberFormat="1" applyFont="1" applyFill="1" applyBorder="1" applyAlignment="1" applyProtection="1">
      <alignment horizontal="right" vertical="center"/>
      <protection locked="0"/>
    </xf>
    <xf numFmtId="37" fontId="9" fillId="2" borderId="2" xfId="0" applyNumberFormat="1" applyFont="1" applyFill="1" applyBorder="1" applyAlignment="1" applyProtection="1">
      <alignment horizontal="right" vertical="center"/>
      <protection locked="0"/>
    </xf>
    <xf numFmtId="37" fontId="9" fillId="2" borderId="3" xfId="0" applyNumberFormat="1" applyFont="1" applyFill="1" applyBorder="1" applyAlignment="1" applyProtection="1">
      <alignment horizontal="right" vertical="center"/>
      <protection locked="0"/>
    </xf>
    <xf numFmtId="165" fontId="3" fillId="2" borderId="8" xfId="0" applyNumberFormat="1" applyFont="1" applyFill="1" applyBorder="1" applyAlignment="1" applyProtection="1">
      <alignment horizontal="center"/>
    </xf>
    <xf numFmtId="165" fontId="3" fillId="2" borderId="8" xfId="0" applyNumberFormat="1" applyFont="1" applyFill="1" applyBorder="1" applyAlignment="1" applyProtection="1">
      <alignment horizontal="center"/>
      <protection locked="0"/>
    </xf>
    <xf numFmtId="165" fontId="3" fillId="2" borderId="8" xfId="0" applyNumberFormat="1" applyFont="1" applyFill="1" applyBorder="1" applyAlignment="1" applyProtection="1">
      <alignment horizontal="center" vertical="center"/>
    </xf>
    <xf numFmtId="165" fontId="3" fillId="2" borderId="9" xfId="0" applyNumberFormat="1" applyFont="1" applyFill="1" applyBorder="1" applyAlignment="1" applyProtection="1">
      <alignment horizontal="center" vertical="center"/>
    </xf>
    <xf numFmtId="165" fontId="3" fillId="2" borderId="10" xfId="0" applyNumberFormat="1" applyFont="1" applyFill="1" applyBorder="1" applyAlignment="1" applyProtection="1">
      <alignment horizontal="center" vertical="center"/>
    </xf>
    <xf numFmtId="165" fontId="3" fillId="2" borderId="11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/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11" fillId="0" borderId="1" xfId="0" applyNumberFormat="1" applyFont="1" applyFill="1" applyBorder="1" applyAlignment="1" applyProtection="1">
      <alignment horizontal="right" vertical="center"/>
    </xf>
    <xf numFmtId="165" fontId="11" fillId="0" borderId="2" xfId="0" applyNumberFormat="1" applyFont="1" applyFill="1" applyBorder="1" applyAlignment="1" applyProtection="1">
      <alignment horizontal="right" vertical="center"/>
    </xf>
    <xf numFmtId="165" fontId="11" fillId="0" borderId="3" xfId="0" applyNumberFormat="1" applyFont="1" applyFill="1" applyBorder="1" applyAlignment="1" applyProtection="1">
      <alignment horizontal="right" vertical="center"/>
    </xf>
    <xf numFmtId="37" fontId="12" fillId="0" borderId="0" xfId="0" applyNumberFormat="1" applyFont="1" applyFill="1" applyBorder="1" applyAlignment="1" applyProtection="1">
      <protection locked="0"/>
    </xf>
    <xf numFmtId="37" fontId="12" fillId="0" borderId="0" xfId="0" quotePrefix="1" applyNumberFormat="1" applyFont="1" applyFill="1" applyBorder="1" applyAlignment="1" applyProtection="1">
      <protection locked="0"/>
    </xf>
    <xf numFmtId="37" fontId="12" fillId="0" borderId="0" xfId="0" quotePrefix="1" applyNumberFormat="1" applyFont="1" applyFill="1" applyBorder="1" applyAlignment="1" applyProtection="1">
      <alignment horizontal="right" vertical="center"/>
      <protection locked="0"/>
    </xf>
    <xf numFmtId="37" fontId="12" fillId="0" borderId="0" xfId="0" applyNumberFormat="1" applyFont="1" applyFill="1" applyBorder="1" applyAlignment="1">
      <alignment horizontal="right" vertical="center"/>
    </xf>
    <xf numFmtId="37" fontId="12" fillId="0" borderId="0" xfId="0" applyNumberFormat="1" applyFont="1" applyFill="1" applyBorder="1" applyAlignment="1" applyProtection="1">
      <alignment horizontal="right" vertical="center"/>
      <protection locked="0"/>
    </xf>
    <xf numFmtId="37" fontId="12" fillId="0" borderId="1" xfId="0" applyNumberFormat="1" applyFont="1" applyFill="1" applyBorder="1" applyAlignment="1" applyProtection="1">
      <alignment horizontal="right" vertical="center"/>
      <protection locked="0"/>
    </xf>
    <xf numFmtId="37" fontId="12" fillId="0" borderId="2" xfId="0" applyNumberFormat="1" applyFont="1" applyFill="1" applyBorder="1" applyAlignment="1" applyProtection="1">
      <alignment horizontal="right" vertical="center"/>
      <protection locked="0"/>
    </xf>
    <xf numFmtId="37" fontId="12" fillId="0" borderId="3" xfId="0" applyNumberFormat="1" applyFont="1" applyFill="1" applyBorder="1" applyAlignment="1" applyProtection="1">
      <alignment horizontal="right" vertical="center"/>
      <protection locked="0"/>
    </xf>
    <xf numFmtId="37" fontId="12" fillId="0" borderId="0" xfId="0" applyNumberFormat="1" applyFont="1" applyFill="1" applyBorder="1" applyAlignment="1" applyProtection="1">
      <alignment horizontal="right"/>
      <protection locked="0"/>
    </xf>
    <xf numFmtId="37" fontId="12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 applyProtection="1">
      <alignment horizontal="right"/>
    </xf>
    <xf numFmtId="37" fontId="12" fillId="0" borderId="0" xfId="0" quotePrefix="1" applyNumberFormat="1" applyFont="1" applyFill="1" applyBorder="1" applyAlignment="1" applyProtection="1">
      <alignment horizontal="right"/>
      <protection locked="0"/>
    </xf>
    <xf numFmtId="37" fontId="12" fillId="2" borderId="0" xfId="0" applyNumberFormat="1" applyFont="1" applyFill="1" applyBorder="1" applyAlignment="1" applyProtection="1">
      <protection locked="0"/>
    </xf>
    <xf numFmtId="37" fontId="12" fillId="2" borderId="0" xfId="0" applyNumberFormat="1" applyFont="1" applyFill="1" applyBorder="1" applyAlignment="1" applyProtection="1">
      <alignment horizontal="right"/>
      <protection locked="0"/>
    </xf>
    <xf numFmtId="37" fontId="12" fillId="2" borderId="0" xfId="0" applyNumberFormat="1" applyFont="1" applyFill="1" applyBorder="1" applyAlignment="1" applyProtection="1">
      <alignment horizontal="right" vertical="center"/>
      <protection locked="0"/>
    </xf>
    <xf numFmtId="37" fontId="12" fillId="2" borderId="0" xfId="0" quotePrefix="1" applyNumberFormat="1" applyFont="1" applyFill="1" applyBorder="1" applyAlignment="1" applyProtection="1">
      <alignment horizontal="right" vertical="center"/>
      <protection locked="0"/>
    </xf>
    <xf numFmtId="37" fontId="12" fillId="2" borderId="1" xfId="0" applyNumberFormat="1" applyFont="1" applyFill="1" applyBorder="1" applyAlignment="1" applyProtection="1">
      <alignment horizontal="right" vertical="center"/>
      <protection locked="0"/>
    </xf>
    <xf numFmtId="37" fontId="12" fillId="2" borderId="2" xfId="0" applyNumberFormat="1" applyFont="1" applyFill="1" applyBorder="1" applyAlignment="1" applyProtection="1">
      <alignment horizontal="right" vertical="center"/>
      <protection locked="0"/>
    </xf>
    <xf numFmtId="37" fontId="12" fillId="2" borderId="3" xfId="0" applyNumberFormat="1" applyFont="1" applyFill="1" applyBorder="1" applyAlignment="1" applyProtection="1">
      <alignment horizontal="right" vertical="center"/>
      <protection locked="0"/>
    </xf>
    <xf numFmtId="37" fontId="12" fillId="2" borderId="0" xfId="0" quotePrefix="1" applyNumberFormat="1" applyFont="1" applyFill="1" applyBorder="1" applyAlignment="1" applyProtection="1">
      <protection locked="0"/>
    </xf>
    <xf numFmtId="37" fontId="12" fillId="2" borderId="0" xfId="0" applyNumberFormat="1" applyFont="1" applyFill="1" applyBorder="1" applyAlignment="1">
      <alignment horizontal="right"/>
    </xf>
    <xf numFmtId="37" fontId="12" fillId="2" borderId="0" xfId="0" quotePrefix="1" applyNumberFormat="1" applyFont="1" applyFill="1" applyBorder="1" applyAlignment="1" applyProtection="1">
      <alignment horizontal="right"/>
      <protection locked="0"/>
    </xf>
    <xf numFmtId="37" fontId="12" fillId="2" borderId="0" xfId="0" applyNumberFormat="1" applyFont="1" applyFill="1" applyBorder="1" applyAlignment="1">
      <alignment horizontal="right" vertical="center"/>
    </xf>
    <xf numFmtId="37" fontId="12" fillId="2" borderId="2" xfId="0" applyNumberFormat="1" applyFont="1" applyFill="1" applyBorder="1" applyAlignment="1">
      <alignment horizontal="right" vertical="center"/>
    </xf>
    <xf numFmtId="37" fontId="12" fillId="2" borderId="3" xfId="0" applyNumberFormat="1" applyFont="1" applyFill="1" applyBorder="1" applyAlignment="1">
      <alignment horizontal="right" vertical="center"/>
    </xf>
    <xf numFmtId="37" fontId="12" fillId="2" borderId="4" xfId="0" applyNumberFormat="1" applyFont="1" applyFill="1" applyBorder="1" applyAlignment="1" applyProtection="1">
      <protection locked="0"/>
    </xf>
    <xf numFmtId="37" fontId="12" fillId="2" borderId="4" xfId="0" applyNumberFormat="1" applyFont="1" applyFill="1" applyBorder="1" applyAlignment="1" applyProtection="1">
      <alignment horizontal="right"/>
      <protection locked="0"/>
    </xf>
    <xf numFmtId="37" fontId="12" fillId="2" borderId="4" xfId="0" quotePrefix="1" applyNumberFormat="1" applyFont="1" applyFill="1" applyBorder="1" applyAlignment="1" applyProtection="1">
      <alignment horizontal="right" vertical="center"/>
      <protection locked="0"/>
    </xf>
    <xf numFmtId="37" fontId="12" fillId="2" borderId="6" xfId="0" applyNumberFormat="1" applyFont="1" applyFill="1" applyBorder="1" applyAlignment="1" applyProtection="1">
      <alignment horizontal="right" vertical="center"/>
      <protection locked="0"/>
    </xf>
    <xf numFmtId="37" fontId="12" fillId="2" borderId="7" xfId="0" applyNumberFormat="1" applyFont="1" applyFill="1" applyBorder="1" applyAlignment="1" applyProtection="1">
      <alignment horizontal="right" vertical="center"/>
      <protection locked="0"/>
    </xf>
    <xf numFmtId="37" fontId="11" fillId="0" borderId="0" xfId="0" applyNumberFormat="1" applyFont="1" applyFill="1" applyBorder="1" applyAlignment="1" applyProtection="1">
      <alignment horizontal="right"/>
      <protection locked="0"/>
    </xf>
    <xf numFmtId="37" fontId="11" fillId="0" borderId="1" xfId="0" applyNumberFormat="1" applyFont="1" applyFill="1" applyBorder="1" applyAlignment="1" applyProtection="1">
      <alignment horizontal="right"/>
      <protection locked="0"/>
    </xf>
    <xf numFmtId="37" fontId="11" fillId="0" borderId="2" xfId="0" applyNumberFormat="1" applyFont="1" applyFill="1" applyBorder="1" applyAlignment="1" applyProtection="1">
      <alignment horizontal="right"/>
      <protection locked="0"/>
    </xf>
    <xf numFmtId="37" fontId="11" fillId="0" borderId="3" xfId="0" applyNumberFormat="1" applyFont="1" applyFill="1" applyBorder="1" applyAlignment="1" applyProtection="1">
      <alignment horizontal="right"/>
      <protection locked="0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 applyProtection="1">
      <alignment horizontal="right"/>
      <protection locked="0"/>
    </xf>
    <xf numFmtId="37" fontId="10" fillId="0" borderId="0" xfId="0" applyNumberFormat="1" applyFont="1" applyFill="1" applyBorder="1" applyAlignment="1" applyProtection="1">
      <alignment horizontal="right"/>
      <protection locked="0"/>
    </xf>
    <xf numFmtId="37" fontId="10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 vertical="center"/>
    </xf>
    <xf numFmtId="37" fontId="10" fillId="0" borderId="0" xfId="0" applyNumberFormat="1" applyFont="1" applyFill="1" applyBorder="1" applyAlignment="1">
      <alignment horizontal="right" vertical="center"/>
    </xf>
    <xf numFmtId="37" fontId="8" fillId="0" borderId="1" xfId="0" applyNumberFormat="1" applyFont="1" applyFill="1" applyBorder="1" applyAlignment="1">
      <alignment horizontal="right" vertical="center"/>
    </xf>
    <xf numFmtId="37" fontId="9" fillId="0" borderId="2" xfId="0" applyNumberFormat="1" applyFont="1" applyFill="1" applyBorder="1" applyAlignment="1">
      <alignment horizontal="right" vertical="center"/>
    </xf>
    <xf numFmtId="37" fontId="9" fillId="0" borderId="3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center" vertical="center"/>
    </xf>
    <xf numFmtId="165" fontId="11" fillId="0" borderId="2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2" fillId="2" borderId="0" xfId="0" applyNumberFormat="1" applyFont="1" applyFill="1" applyBorder="1" applyAlignment="1" applyProtection="1">
      <alignment horizontal="right"/>
    </xf>
    <xf numFmtId="37" fontId="12" fillId="0" borderId="2" xfId="0" applyNumberFormat="1" applyFont="1" applyFill="1" applyBorder="1" applyAlignment="1">
      <alignment horizontal="right" vertical="center"/>
    </xf>
    <xf numFmtId="37" fontId="12" fillId="0" borderId="3" xfId="0" applyNumberFormat="1" applyFont="1" applyFill="1" applyBorder="1" applyAlignment="1">
      <alignment horizontal="right" vertical="center"/>
    </xf>
    <xf numFmtId="165" fontId="12" fillId="0" borderId="12" xfId="0" applyNumberFormat="1" applyFont="1" applyFill="1" applyBorder="1" applyAlignment="1" applyProtection="1">
      <alignment horizontal="right"/>
    </xf>
    <xf numFmtId="37" fontId="12" fillId="0" borderId="4" xfId="0" applyNumberFormat="1" applyFont="1" applyFill="1" applyBorder="1" applyAlignment="1" applyProtection="1">
      <protection locked="0"/>
    </xf>
    <xf numFmtId="37" fontId="12" fillId="0" borderId="4" xfId="0" applyNumberFormat="1" applyFont="1" applyFill="1" applyBorder="1" applyAlignment="1" applyProtection="1">
      <alignment horizontal="right"/>
      <protection locked="0"/>
    </xf>
    <xf numFmtId="37" fontId="12" fillId="0" borderId="4" xfId="0" applyNumberFormat="1" applyFont="1" applyFill="1" applyBorder="1" applyAlignment="1" applyProtection="1">
      <alignment horizontal="right" vertical="center"/>
      <protection locked="0"/>
    </xf>
    <xf numFmtId="37" fontId="12" fillId="0" borderId="4" xfId="0" applyNumberFormat="1" applyFont="1" applyFill="1" applyBorder="1" applyAlignment="1">
      <alignment horizontal="right" vertical="center"/>
    </xf>
    <xf numFmtId="37" fontId="12" fillId="0" borderId="4" xfId="0" quotePrefix="1" applyNumberFormat="1" applyFont="1" applyFill="1" applyBorder="1" applyAlignment="1" applyProtection="1">
      <alignment horizontal="right" vertical="center"/>
      <protection locked="0"/>
    </xf>
    <xf numFmtId="37" fontId="12" fillId="0" borderId="5" xfId="0" applyNumberFormat="1" applyFont="1" applyFill="1" applyBorder="1" applyAlignment="1" applyProtection="1">
      <alignment horizontal="right" vertical="center"/>
      <protection locked="0"/>
    </xf>
    <xf numFmtId="37" fontId="12" fillId="0" borderId="6" xfId="0" applyNumberFormat="1" applyFont="1" applyFill="1" applyBorder="1" applyAlignment="1" applyProtection="1">
      <alignment horizontal="right" vertical="center"/>
      <protection locked="0"/>
    </xf>
    <xf numFmtId="37" fontId="12" fillId="0" borderId="7" xfId="0" applyNumberFormat="1" applyFont="1" applyFill="1" applyBorder="1" applyAlignment="1" applyProtection="1">
      <alignment horizontal="right" vertical="center"/>
      <protection locked="0"/>
    </xf>
    <xf numFmtId="37" fontId="11" fillId="0" borderId="0" xfId="0" applyNumberFormat="1" applyFont="1" applyFill="1" applyBorder="1" applyAlignment="1" applyProtection="1">
      <alignment horizontal="right" vertical="center"/>
      <protection locked="0"/>
    </xf>
    <xf numFmtId="37" fontId="11" fillId="0" borderId="1" xfId="0" applyNumberFormat="1" applyFont="1" applyFill="1" applyBorder="1" applyAlignment="1" applyProtection="1">
      <alignment horizontal="right" vertical="center"/>
      <protection locked="0"/>
    </xf>
    <xf numFmtId="37" fontId="11" fillId="0" borderId="2" xfId="0" applyNumberFormat="1" applyFont="1" applyFill="1" applyBorder="1" applyAlignment="1" applyProtection="1">
      <alignment horizontal="right" vertical="center"/>
      <protection locked="0"/>
    </xf>
    <xf numFmtId="37" fontId="11" fillId="0" borderId="3" xfId="0" applyNumberFormat="1" applyFont="1" applyFill="1" applyBorder="1" applyAlignment="1" applyProtection="1">
      <alignment horizontal="right" vertical="center"/>
      <protection locked="0"/>
    </xf>
    <xf numFmtId="37" fontId="12" fillId="2" borderId="1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 applyProtection="1"/>
    <xf numFmtId="165" fontId="11" fillId="2" borderId="0" xfId="0" applyNumberFormat="1" applyFont="1" applyFill="1" applyBorder="1" applyAlignment="1" applyProtection="1">
      <alignment horizontal="center"/>
    </xf>
    <xf numFmtId="165" fontId="11" fillId="2" borderId="0" xfId="0" applyNumberFormat="1" applyFont="1" applyFill="1" applyBorder="1" applyAlignment="1" applyProtection="1">
      <alignment horizontal="center" vertical="center"/>
    </xf>
    <xf numFmtId="165" fontId="11" fillId="2" borderId="1" xfId="0" applyNumberFormat="1" applyFont="1" applyFill="1" applyBorder="1" applyAlignment="1" applyProtection="1">
      <alignment horizontal="center" vertical="center"/>
    </xf>
    <xf numFmtId="165" fontId="11" fillId="2" borderId="2" xfId="0" applyNumberFormat="1" applyFont="1" applyFill="1" applyBorder="1" applyAlignment="1" applyProtection="1">
      <alignment horizontal="center" vertical="center"/>
    </xf>
    <xf numFmtId="165" fontId="11" fillId="2" borderId="3" xfId="0" applyNumberFormat="1" applyFont="1" applyFill="1" applyBorder="1" applyAlignment="1" applyProtection="1">
      <alignment horizontal="center" vertical="center"/>
    </xf>
    <xf numFmtId="37" fontId="12" fillId="0" borderId="0" xfId="0" applyNumberFormat="1" applyFont="1" applyFill="1" applyBorder="1" applyAlignment="1" applyProtection="1">
      <alignment horizontal="right"/>
    </xf>
    <xf numFmtId="37" fontId="12" fillId="0" borderId="4" xfId="0" applyNumberFormat="1" applyFont="1" applyFill="1" applyBorder="1" applyAlignment="1" applyProtection="1">
      <alignment horizontal="right"/>
    </xf>
    <xf numFmtId="165" fontId="5" fillId="2" borderId="0" xfId="0" applyNumberFormat="1" applyFont="1" applyFill="1" applyBorder="1" applyAlignment="1" applyProtection="1"/>
    <xf numFmtId="165" fontId="5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165" fontId="5" fillId="2" borderId="3" xfId="0" applyNumberFormat="1" applyFont="1" applyFill="1" applyBorder="1" applyAlignment="1" applyProtection="1">
      <alignment horizontal="center" vertical="center"/>
    </xf>
    <xf numFmtId="37" fontId="6" fillId="2" borderId="4" xfId="0" applyNumberFormat="1" applyFont="1" applyFill="1" applyBorder="1" applyAlignment="1" applyProtection="1">
      <alignment horizontal="right" vertical="center"/>
      <protection locked="0"/>
    </xf>
    <xf numFmtId="37" fontId="6" fillId="2" borderId="4" xfId="0" applyNumberFormat="1" applyFont="1" applyFill="1" applyBorder="1" applyAlignment="1">
      <alignment horizontal="right" vertical="center"/>
    </xf>
    <xf numFmtId="37" fontId="5" fillId="0" borderId="0" xfId="0" applyNumberFormat="1" applyFont="1" applyFill="1" applyBorder="1" applyAlignment="1" applyProtection="1">
      <alignment horizontal="right"/>
      <protection locked="0"/>
    </xf>
    <xf numFmtId="37" fontId="5" fillId="0" borderId="1" xfId="0" applyNumberFormat="1" applyFont="1" applyFill="1" applyBorder="1" applyAlignment="1" applyProtection="1">
      <alignment horizontal="right"/>
      <protection locked="0"/>
    </xf>
    <xf numFmtId="37" fontId="5" fillId="0" borderId="2" xfId="0" applyNumberFormat="1" applyFont="1" applyFill="1" applyBorder="1" applyAlignment="1" applyProtection="1">
      <alignment horizontal="right" vertical="center"/>
      <protection locked="0"/>
    </xf>
    <xf numFmtId="37" fontId="5" fillId="0" borderId="3" xfId="0" applyNumberFormat="1" applyFont="1" applyFill="1" applyBorder="1" applyAlignment="1" applyProtection="1">
      <alignment horizontal="right" vertical="center"/>
      <protection locked="0"/>
    </xf>
    <xf numFmtId="37" fontId="12" fillId="2" borderId="4" xfId="0" applyNumberFormat="1" applyFont="1" applyFill="1" applyBorder="1" applyAlignment="1" applyProtection="1">
      <alignment horizontal="right" vertical="center"/>
      <protection locked="0"/>
    </xf>
    <xf numFmtId="37" fontId="12" fillId="2" borderId="4" xfId="0" applyNumberFormat="1" applyFont="1" applyFill="1" applyBorder="1" applyAlignment="1">
      <alignment horizontal="right" vertical="center"/>
    </xf>
    <xf numFmtId="37" fontId="12" fillId="2" borderId="5" xfId="0" applyNumberFormat="1" applyFont="1" applyFill="1" applyBorder="1" applyAlignment="1" applyProtection="1">
      <alignment horizontal="right" vertical="center"/>
      <protection locked="0"/>
    </xf>
    <xf numFmtId="37" fontId="11" fillId="2" borderId="0" xfId="0" applyNumberFormat="1" applyFont="1" applyFill="1" applyBorder="1" applyAlignment="1" applyProtection="1">
      <alignment horizontal="right"/>
      <protection locked="0"/>
    </xf>
    <xf numFmtId="37" fontId="11" fillId="2" borderId="1" xfId="0" applyNumberFormat="1" applyFont="1" applyFill="1" applyBorder="1" applyAlignment="1" applyProtection="1">
      <alignment horizontal="right"/>
      <protection locked="0"/>
    </xf>
    <xf numFmtId="37" fontId="11" fillId="2" borderId="2" xfId="0" applyNumberFormat="1" applyFont="1" applyFill="1" applyBorder="1" applyAlignment="1" applyProtection="1">
      <alignment horizontal="right" vertical="center"/>
      <protection locked="0"/>
    </xf>
    <xf numFmtId="37" fontId="11" fillId="2" borderId="3" xfId="0" applyNumberFormat="1" applyFont="1" applyFill="1" applyBorder="1" applyAlignment="1" applyProtection="1">
      <alignment horizontal="right" vertical="center"/>
      <protection locked="0"/>
    </xf>
    <xf numFmtId="37" fontId="8" fillId="0" borderId="0" xfId="0" applyNumberFormat="1" applyFont="1" applyFill="1" applyBorder="1" applyAlignment="1" applyProtection="1">
      <alignment horizontal="right"/>
      <protection locked="0"/>
    </xf>
    <xf numFmtId="37" fontId="8" fillId="0" borderId="0" xfId="0" applyNumberFormat="1" applyFont="1" applyFill="1" applyBorder="1" applyAlignment="1" applyProtection="1">
      <alignment horizontal="right" vertical="center"/>
      <protection locked="0"/>
    </xf>
    <xf numFmtId="37" fontId="8" fillId="0" borderId="1" xfId="0" applyNumberFormat="1" applyFont="1" applyFill="1" applyBorder="1" applyAlignment="1" applyProtection="1">
      <alignment horizontal="right" vertical="center"/>
      <protection locked="0"/>
    </xf>
    <xf numFmtId="37" fontId="8" fillId="0" borderId="2" xfId="0" applyNumberFormat="1" applyFont="1" applyFill="1" applyBorder="1" applyAlignment="1">
      <alignment horizontal="right" vertical="center"/>
    </xf>
    <xf numFmtId="37" fontId="8" fillId="0" borderId="3" xfId="0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 applyProtection="1">
      <alignment horizontal="center"/>
    </xf>
    <xf numFmtId="165" fontId="3" fillId="0" borderId="10" xfId="0" applyNumberFormat="1" applyFont="1" applyFill="1" applyBorder="1" applyAlignment="1" applyProtection="1">
      <alignment horizontal="center"/>
    </xf>
    <xf numFmtId="165" fontId="3" fillId="0" borderId="11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 applyProtection="1">
      <alignment horizontal="center" vertical="center"/>
    </xf>
    <xf numFmtId="165" fontId="5" fillId="0" borderId="3" xfId="0" applyNumberFormat="1" applyFont="1" applyFill="1" applyBorder="1" applyAlignment="1" applyProtection="1">
      <alignment horizontal="center" vertical="center"/>
    </xf>
    <xf numFmtId="37" fontId="6" fillId="0" borderId="0" xfId="0" quotePrefix="1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</xf>
    <xf numFmtId="37" fontId="6" fillId="2" borderId="2" xfId="0" applyNumberFormat="1" applyFont="1" applyFill="1" applyBorder="1" applyAlignment="1">
      <alignment horizontal="right" vertical="center"/>
    </xf>
    <xf numFmtId="37" fontId="6" fillId="2" borderId="3" xfId="0" applyNumberFormat="1" applyFont="1" applyFill="1" applyBorder="1" applyAlignment="1">
      <alignment horizontal="right" vertical="center"/>
    </xf>
    <xf numFmtId="37" fontId="6" fillId="2" borderId="4" xfId="0" quotePrefix="1" applyNumberFormat="1" applyFont="1" applyFill="1" applyBorder="1" applyAlignment="1" applyProtection="1">
      <alignment horizontal="right"/>
      <protection locked="0"/>
    </xf>
    <xf numFmtId="37" fontId="6" fillId="2" borderId="6" xfId="0" applyNumberFormat="1" applyFont="1" applyFill="1" applyBorder="1" applyAlignment="1">
      <alignment horizontal="right" vertical="center"/>
    </xf>
    <xf numFmtId="37" fontId="6" fillId="2" borderId="7" xfId="0" applyNumberFormat="1" applyFont="1" applyFill="1" applyBorder="1" applyAlignment="1">
      <alignment horizontal="right" vertical="center"/>
    </xf>
    <xf numFmtId="37" fontId="5" fillId="2" borderId="0" xfId="0" applyNumberFormat="1" applyFont="1" applyFill="1" applyBorder="1" applyAlignment="1">
      <alignment horizontal="right"/>
    </xf>
    <xf numFmtId="37" fontId="5" fillId="2" borderId="2" xfId="0" applyNumberFormat="1" applyFont="1" applyFill="1" applyBorder="1" applyAlignment="1">
      <alignment horizontal="right" vertical="center"/>
    </xf>
    <xf numFmtId="37" fontId="5" fillId="2" borderId="3" xfId="0" applyNumberFormat="1" applyFont="1" applyFill="1" applyBorder="1" applyAlignment="1">
      <alignment horizontal="right" vertical="center"/>
    </xf>
    <xf numFmtId="37" fontId="8" fillId="2" borderId="0" xfId="0" applyNumberFormat="1" applyFont="1" applyFill="1" applyBorder="1" applyAlignment="1">
      <alignment horizontal="right"/>
    </xf>
    <xf numFmtId="37" fontId="13" fillId="2" borderId="0" xfId="0" applyNumberFormat="1" applyFont="1" applyFill="1" applyBorder="1" applyAlignment="1">
      <alignment horizontal="right"/>
    </xf>
    <xf numFmtId="37" fontId="13" fillId="2" borderId="0" xfId="0" applyNumberFormat="1" applyFont="1" applyFill="1" applyBorder="1" applyAlignment="1" applyProtection="1">
      <alignment horizontal="right"/>
      <protection locked="0"/>
    </xf>
    <xf numFmtId="37" fontId="8" fillId="2" borderId="0" xfId="0" applyNumberFormat="1" applyFont="1" applyFill="1" applyBorder="1" applyAlignment="1" applyProtection="1">
      <alignment horizontal="right" vertical="center"/>
      <protection locked="0"/>
    </xf>
    <xf numFmtId="37" fontId="13" fillId="2" borderId="0" xfId="0" applyNumberFormat="1" applyFont="1" applyFill="1" applyBorder="1" applyAlignment="1" applyProtection="1">
      <alignment horizontal="right" vertical="center"/>
      <protection locked="0"/>
    </xf>
    <xf numFmtId="37" fontId="8" fillId="2" borderId="0" xfId="0" applyNumberFormat="1" applyFont="1" applyFill="1" applyBorder="1" applyAlignment="1">
      <alignment horizontal="right" vertical="center"/>
    </xf>
    <xf numFmtId="37" fontId="8" fillId="2" borderId="2" xfId="0" applyNumberFormat="1" applyFont="1" applyFill="1" applyBorder="1" applyAlignment="1">
      <alignment horizontal="right" vertical="center"/>
    </xf>
    <xf numFmtId="37" fontId="8" fillId="2" borderId="3" xfId="0" applyNumberFormat="1" applyFont="1" applyFill="1" applyBorder="1" applyAlignment="1">
      <alignment horizontal="right" vertical="center"/>
    </xf>
    <xf numFmtId="37" fontId="3" fillId="0" borderId="4" xfId="0" applyNumberFormat="1" applyFont="1" applyFill="1" applyBorder="1" applyAlignment="1">
      <alignment horizontal="right"/>
    </xf>
    <xf numFmtId="37" fontId="13" fillId="0" borderId="4" xfId="0" applyNumberFormat="1" applyFont="1" applyFill="1" applyBorder="1" applyAlignment="1">
      <alignment horizontal="right"/>
    </xf>
    <xf numFmtId="37" fontId="13" fillId="0" borderId="4" xfId="0" applyNumberFormat="1" applyFont="1" applyFill="1" applyBorder="1" applyAlignment="1" applyProtection="1">
      <alignment horizontal="right"/>
      <protection locked="0"/>
    </xf>
    <xf numFmtId="37" fontId="3" fillId="0" borderId="4" xfId="0" applyNumberFormat="1" applyFont="1" applyFill="1" applyBorder="1" applyAlignment="1" applyProtection="1">
      <alignment horizontal="right" vertical="center"/>
      <protection locked="0"/>
    </xf>
    <xf numFmtId="37" fontId="13" fillId="0" borderId="4" xfId="0" applyNumberFormat="1" applyFont="1" applyFill="1" applyBorder="1" applyAlignment="1" applyProtection="1">
      <alignment horizontal="right" vertical="center"/>
      <protection locked="0"/>
    </xf>
    <xf numFmtId="37" fontId="3" fillId="0" borderId="4" xfId="0" applyNumberFormat="1" applyFont="1" applyFill="1" applyBorder="1" applyAlignment="1">
      <alignment horizontal="right" vertical="center"/>
    </xf>
    <xf numFmtId="37" fontId="3" fillId="0" borderId="5" xfId="0" applyNumberFormat="1" applyFont="1" applyFill="1" applyBorder="1" applyAlignment="1" applyProtection="1">
      <alignment horizontal="right" vertical="center"/>
      <protection locked="0"/>
    </xf>
    <xf numFmtId="37" fontId="3" fillId="0" borderId="6" xfId="0" applyNumberFormat="1" applyFont="1" applyFill="1" applyBorder="1" applyAlignment="1">
      <alignment horizontal="right" vertical="center"/>
    </xf>
    <xf numFmtId="37" fontId="3" fillId="0" borderId="7" xfId="0" applyNumberFormat="1" applyFont="1" applyFill="1" applyBorder="1" applyAlignment="1">
      <alignment horizontal="right" vertical="center"/>
    </xf>
    <xf numFmtId="37" fontId="3" fillId="0" borderId="13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 applyProtection="1">
      <alignment horizont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165" fontId="3" fillId="0" borderId="14" xfId="0" applyNumberFormat="1" applyFont="1" applyFill="1" applyBorder="1" applyAlignment="1" applyProtection="1">
      <alignment horizontal="center" vertical="center"/>
    </xf>
    <xf numFmtId="165" fontId="3" fillId="0" borderId="15" xfId="0" applyNumberFormat="1" applyFont="1" applyFill="1" applyBorder="1" applyAlignment="1" applyProtection="1">
      <alignment horizontal="center" vertical="center"/>
    </xf>
    <xf numFmtId="165" fontId="3" fillId="0" borderId="16" xfId="0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>
      <alignment horizontal="right"/>
      <protection locked="0"/>
    </xf>
    <xf numFmtId="37" fontId="3" fillId="0" borderId="1" xfId="0" applyNumberFormat="1" applyFont="1" applyFill="1" applyBorder="1" applyAlignment="1" applyProtection="1">
      <alignment horizontal="right"/>
      <protection locked="0"/>
    </xf>
    <xf numFmtId="37" fontId="3" fillId="0" borderId="2" xfId="0" applyNumberFormat="1" applyFont="1" applyFill="1" applyBorder="1" applyAlignment="1">
      <alignment horizontal="right" vertical="center"/>
    </xf>
    <xf numFmtId="37" fontId="3" fillId="0" borderId="3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 applyProtection="1">
      <alignment horizontal="right" vertical="center"/>
      <protection locked="0"/>
    </xf>
    <xf numFmtId="37" fontId="3" fillId="0" borderId="1" xfId="0" applyNumberFormat="1" applyFont="1" applyFill="1" applyBorder="1" applyAlignment="1" applyProtection="1">
      <alignment horizontal="right" vertical="center"/>
      <protection locked="0"/>
    </xf>
    <xf numFmtId="37" fontId="3" fillId="2" borderId="0" xfId="0" applyNumberFormat="1" applyFont="1" applyFill="1" applyBorder="1" applyAlignment="1" applyProtection="1">
      <alignment horizontal="right"/>
      <protection locked="0"/>
    </xf>
    <xf numFmtId="37" fontId="3" fillId="2" borderId="0" xfId="0" applyNumberFormat="1" applyFont="1" applyFill="1" applyBorder="1" applyAlignment="1" applyProtection="1">
      <alignment horizontal="right" vertical="center"/>
      <protection locked="0"/>
    </xf>
    <xf numFmtId="37" fontId="3" fillId="2" borderId="1" xfId="0" applyNumberFormat="1" applyFont="1" applyFill="1" applyBorder="1" applyAlignment="1" applyProtection="1">
      <alignment horizontal="right" vertical="center"/>
      <protection locked="0"/>
    </xf>
    <xf numFmtId="37" fontId="3" fillId="2" borderId="2" xfId="0" applyNumberFormat="1" applyFont="1" applyFill="1" applyBorder="1" applyAlignment="1">
      <alignment horizontal="right" vertical="center"/>
    </xf>
    <xf numFmtId="37" fontId="3" fillId="2" borderId="3" xfId="0" applyNumberFormat="1" applyFont="1" applyFill="1" applyBorder="1" applyAlignment="1">
      <alignment horizontal="right" vertical="center"/>
    </xf>
    <xf numFmtId="37" fontId="3" fillId="2" borderId="1" xfId="0" applyNumberFormat="1" applyFont="1" applyFill="1" applyBorder="1" applyAlignment="1" applyProtection="1">
      <alignment horizontal="right"/>
      <protection locked="0"/>
    </xf>
    <xf numFmtId="37" fontId="9" fillId="2" borderId="0" xfId="0" applyNumberFormat="1" applyFont="1" applyFill="1" applyBorder="1" applyAlignment="1">
      <alignment horizontal="right"/>
    </xf>
    <xf numFmtId="37" fontId="9" fillId="2" borderId="0" xfId="0" applyNumberFormat="1" applyFont="1" applyFill="1" applyBorder="1" applyAlignment="1" applyProtection="1">
      <alignment horizontal="right" vertical="center"/>
      <protection locked="0"/>
    </xf>
    <xf numFmtId="37" fontId="9" fillId="2" borderId="2" xfId="0" applyNumberFormat="1" applyFont="1" applyFill="1" applyBorder="1" applyAlignment="1">
      <alignment horizontal="right" vertical="center"/>
    </xf>
    <xf numFmtId="37" fontId="9" fillId="2" borderId="3" xfId="0" applyNumberFormat="1" applyFont="1" applyFill="1" applyBorder="1" applyAlignment="1">
      <alignment horizontal="right" vertical="center"/>
    </xf>
    <xf numFmtId="37" fontId="3" fillId="2" borderId="4" xfId="0" applyNumberFormat="1" applyFont="1" applyFill="1" applyBorder="1" applyAlignment="1" applyProtection="1">
      <alignment horizontal="right"/>
    </xf>
    <xf numFmtId="37" fontId="13" fillId="2" borderId="4" xfId="0" applyNumberFormat="1" applyFont="1" applyFill="1" applyBorder="1" applyAlignment="1" applyProtection="1">
      <alignment horizontal="right"/>
    </xf>
    <xf numFmtId="37" fontId="10" fillId="2" borderId="4" xfId="0" applyNumberFormat="1" applyFont="1" applyFill="1" applyBorder="1" applyAlignment="1">
      <alignment horizontal="right"/>
    </xf>
    <xf numFmtId="37" fontId="4" fillId="2" borderId="4" xfId="0" applyNumberFormat="1" applyFont="1" applyFill="1" applyBorder="1" applyAlignment="1">
      <alignment horizontal="right" vertical="center"/>
    </xf>
    <xf numFmtId="37" fontId="10" fillId="2" borderId="4" xfId="0" applyNumberFormat="1" applyFont="1" applyFill="1" applyBorder="1" applyAlignment="1">
      <alignment horizontal="right" vertical="center"/>
    </xf>
    <xf numFmtId="37" fontId="4" fillId="2" borderId="5" xfId="0" applyNumberFormat="1" applyFont="1" applyFill="1" applyBorder="1" applyAlignment="1">
      <alignment horizontal="right" vertical="center"/>
    </xf>
    <xf numFmtId="37" fontId="4" fillId="2" borderId="6" xfId="0" applyNumberFormat="1" applyFont="1" applyFill="1" applyBorder="1" applyAlignment="1">
      <alignment horizontal="right" vertical="center"/>
    </xf>
    <xf numFmtId="37" fontId="4" fillId="2" borderId="7" xfId="0" applyNumberFormat="1" applyFont="1" applyFill="1" applyBorder="1" applyAlignment="1">
      <alignment horizontal="right" vertical="center"/>
    </xf>
    <xf numFmtId="37" fontId="3" fillId="0" borderId="13" xfId="0" applyNumberFormat="1" applyFont="1" applyFill="1" applyBorder="1" applyAlignment="1" applyProtection="1">
      <alignment horizontal="right"/>
    </xf>
    <xf numFmtId="165" fontId="3" fillId="0" borderId="13" xfId="0" applyNumberFormat="1" applyFont="1" applyFill="1" applyBorder="1" applyAlignment="1" applyProtection="1">
      <alignment horizontal="center"/>
      <protection locked="0"/>
    </xf>
    <xf numFmtId="165" fontId="3" fillId="0" borderId="15" xfId="0" applyNumberFormat="1" applyFont="1" applyFill="1" applyBorder="1" applyAlignment="1" applyProtection="1">
      <alignment horizontal="center"/>
    </xf>
    <xf numFmtId="165" fontId="3" fillId="0" borderId="16" xfId="0" applyNumberFormat="1" applyFont="1" applyFill="1" applyBorder="1" applyAlignment="1" applyProtection="1">
      <alignment horizontal="center"/>
    </xf>
    <xf numFmtId="37" fontId="11" fillId="0" borderId="0" xfId="0" applyNumberFormat="1" applyFont="1" applyFill="1" applyBorder="1" applyAlignment="1" applyProtection="1">
      <alignment horizontal="left"/>
      <protection locked="0"/>
    </xf>
    <xf numFmtId="37" fontId="11" fillId="0" borderId="0" xfId="0" applyNumberFormat="1" applyFont="1" applyFill="1" applyBorder="1" applyAlignment="1">
      <alignment horizontal="left"/>
    </xf>
    <xf numFmtId="37" fontId="11" fillId="2" borderId="13" xfId="0" applyNumberFormat="1" applyFont="1" applyFill="1" applyBorder="1" applyAlignment="1" applyProtection="1">
      <alignment horizontal="left"/>
      <protection locked="0"/>
    </xf>
    <xf numFmtId="37" fontId="11" fillId="2" borderId="13" xfId="0" applyNumberFormat="1" applyFont="1" applyFill="1" applyBorder="1" applyAlignment="1">
      <alignment horizontal="left"/>
    </xf>
    <xf numFmtId="37" fontId="12" fillId="2" borderId="13" xfId="0" applyNumberFormat="1" applyFont="1" applyFill="1" applyBorder="1" applyAlignment="1" applyProtection="1">
      <alignment horizontal="right" vertical="center"/>
      <protection locked="0"/>
    </xf>
    <xf numFmtId="37" fontId="12" fillId="2" borderId="14" xfId="0" applyNumberFormat="1" applyFont="1" applyFill="1" applyBorder="1" applyAlignment="1" applyProtection="1">
      <alignment horizontal="right" vertical="center"/>
      <protection locked="0"/>
    </xf>
    <xf numFmtId="37" fontId="12" fillId="2" borderId="15" xfId="0" applyNumberFormat="1" applyFont="1" applyFill="1" applyBorder="1" applyAlignment="1">
      <alignment horizontal="right" vertical="center"/>
    </xf>
    <xf numFmtId="37" fontId="12" fillId="2" borderId="16" xfId="0" applyNumberFormat="1" applyFont="1" applyFill="1" applyBorder="1" applyAlignment="1">
      <alignment horizontal="right" vertical="center"/>
    </xf>
    <xf numFmtId="37" fontId="11" fillId="2" borderId="0" xfId="0" applyNumberFormat="1" applyFont="1" applyFill="1" applyBorder="1" applyAlignment="1">
      <alignment horizontal="right"/>
    </xf>
    <xf numFmtId="37" fontId="11" fillId="2" borderId="0" xfId="0" applyNumberFormat="1" applyFont="1" applyFill="1" applyBorder="1" applyAlignment="1" applyProtection="1">
      <alignment horizontal="right" vertical="center"/>
      <protection locked="0"/>
    </xf>
    <xf numFmtId="37" fontId="11" fillId="2" borderId="1" xfId="0" applyNumberFormat="1" applyFont="1" applyFill="1" applyBorder="1" applyAlignment="1" applyProtection="1">
      <alignment horizontal="right" vertical="center"/>
      <protection locked="0"/>
    </xf>
    <xf numFmtId="37" fontId="11" fillId="2" borderId="2" xfId="0" applyNumberFormat="1" applyFont="1" applyFill="1" applyBorder="1" applyAlignment="1">
      <alignment horizontal="right" vertical="center"/>
    </xf>
    <xf numFmtId="37" fontId="11" fillId="2" borderId="3" xfId="0" applyNumberFormat="1" applyFont="1" applyFill="1" applyBorder="1" applyAlignment="1">
      <alignment horizontal="right" vertical="center"/>
    </xf>
    <xf numFmtId="37" fontId="3" fillId="2" borderId="4" xfId="0" applyNumberFormat="1" applyFont="1" applyFill="1" applyBorder="1" applyAlignment="1" applyProtection="1">
      <alignment horizontal="left"/>
    </xf>
    <xf numFmtId="37" fontId="4" fillId="2" borderId="4" xfId="0" applyNumberFormat="1" applyFont="1" applyFill="1" applyBorder="1" applyAlignment="1">
      <alignment horizontal="right"/>
    </xf>
    <xf numFmtId="165" fontId="3" fillId="2" borderId="17" xfId="0" applyNumberFormat="1" applyFont="1" applyFill="1" applyBorder="1" applyAlignment="1" applyProtection="1">
      <alignment horizontal="center"/>
    </xf>
    <xf numFmtId="165" fontId="3" fillId="2" borderId="17" xfId="0" applyNumberFormat="1" applyFont="1" applyFill="1" applyBorder="1" applyAlignment="1" applyProtection="1">
      <alignment horizontal="center"/>
      <protection locked="0"/>
    </xf>
    <xf numFmtId="165" fontId="3" fillId="2" borderId="17" xfId="0" applyNumberFormat="1" applyFont="1" applyFill="1" applyBorder="1" applyAlignment="1" applyProtection="1">
      <alignment horizontal="center" vertical="center"/>
    </xf>
    <xf numFmtId="165" fontId="3" fillId="2" borderId="18" xfId="0" applyNumberFormat="1" applyFont="1" applyFill="1" applyBorder="1" applyAlignment="1" applyProtection="1">
      <alignment horizontal="center" vertical="center"/>
    </xf>
    <xf numFmtId="165" fontId="3" fillId="2" borderId="19" xfId="0" applyNumberFormat="1" applyFont="1" applyFill="1" applyBorder="1" applyAlignment="1" applyProtection="1">
      <alignment horizontal="center"/>
    </xf>
    <xf numFmtId="165" fontId="3" fillId="2" borderId="20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left"/>
      <protection locked="0"/>
    </xf>
    <xf numFmtId="37" fontId="9" fillId="0" borderId="0" xfId="0" applyNumberFormat="1" applyFont="1" applyFill="1" applyBorder="1" applyAlignment="1" applyProtection="1">
      <alignment horizontal="left"/>
      <protection locked="0"/>
    </xf>
    <xf numFmtId="37" fontId="9" fillId="0" borderId="0" xfId="0" applyNumberFormat="1" applyFont="1" applyFill="1" applyBorder="1" applyAlignment="1" applyProtection="1">
      <alignment horizontal="right" vertical="center"/>
      <protection locked="0"/>
    </xf>
    <xf numFmtId="37" fontId="9" fillId="0" borderId="1" xfId="0" applyNumberFormat="1" applyFont="1" applyFill="1" applyBorder="1" applyAlignment="1" applyProtection="1">
      <alignment horizontal="right" vertical="center"/>
      <protection locked="0"/>
    </xf>
    <xf numFmtId="37" fontId="9" fillId="0" borderId="2" xfId="0" applyNumberFormat="1" applyFont="1" applyFill="1" applyBorder="1" applyAlignment="1" applyProtection="1">
      <alignment horizontal="right" vertical="center"/>
      <protection locked="0"/>
    </xf>
    <xf numFmtId="37" fontId="9" fillId="0" borderId="3" xfId="0" applyNumberFormat="1" applyFont="1" applyFill="1" applyBorder="1" applyAlignment="1" applyProtection="1">
      <alignment horizontal="right" vertical="center"/>
      <protection locked="0"/>
    </xf>
    <xf numFmtId="37" fontId="9" fillId="0" borderId="0" xfId="0" applyNumberFormat="1" applyFont="1" applyFill="1" applyBorder="1" applyAlignment="1">
      <alignment horizontal="left"/>
    </xf>
    <xf numFmtId="37" fontId="9" fillId="0" borderId="0" xfId="0" quotePrefix="1" applyNumberFormat="1" applyFont="1" applyFill="1" applyBorder="1" applyAlignment="1" applyProtection="1">
      <alignment horizontal="right" vertical="center"/>
      <protection locked="0"/>
    </xf>
    <xf numFmtId="37" fontId="9" fillId="0" borderId="1" xfId="0" quotePrefix="1" applyNumberFormat="1" applyFont="1" applyFill="1" applyBorder="1" applyAlignment="1" applyProtection="1">
      <alignment horizontal="right" vertical="center"/>
      <protection locked="0"/>
    </xf>
    <xf numFmtId="37" fontId="8" fillId="2" borderId="0" xfId="0" applyNumberFormat="1" applyFont="1" applyFill="1" applyBorder="1" applyAlignment="1" applyProtection="1">
      <alignment horizontal="left"/>
      <protection locked="0"/>
    </xf>
    <xf numFmtId="37" fontId="9" fillId="2" borderId="0" xfId="0" applyNumberFormat="1" applyFont="1" applyFill="1" applyBorder="1" applyAlignment="1">
      <alignment horizontal="left"/>
    </xf>
    <xf numFmtId="37" fontId="9" fillId="2" borderId="1" xfId="0" applyNumberFormat="1" applyFont="1" applyFill="1" applyBorder="1" applyAlignment="1" applyProtection="1">
      <alignment horizontal="right" vertical="center"/>
      <protection locked="0"/>
    </xf>
    <xf numFmtId="37" fontId="8" fillId="0" borderId="13" xfId="0" applyNumberFormat="1" applyFont="1" applyFill="1" applyBorder="1" applyAlignment="1" applyProtection="1">
      <alignment horizontal="left"/>
      <protection locked="0"/>
    </xf>
    <xf numFmtId="37" fontId="9" fillId="0" borderId="13" xfId="0" applyNumberFormat="1" applyFont="1" applyFill="1" applyBorder="1" applyAlignment="1">
      <alignment horizontal="left"/>
    </xf>
    <xf numFmtId="37" fontId="9" fillId="0" borderId="13" xfId="0" applyNumberFormat="1" applyFont="1" applyFill="1" applyBorder="1" applyAlignment="1" applyProtection="1">
      <alignment horizontal="right" vertical="center"/>
      <protection locked="0"/>
    </xf>
    <xf numFmtId="37" fontId="9" fillId="0" borderId="14" xfId="0" applyNumberFormat="1" applyFont="1" applyFill="1" applyBorder="1" applyAlignment="1" applyProtection="1">
      <alignment horizontal="right" vertical="center"/>
      <protection locked="0"/>
    </xf>
    <xf numFmtId="37" fontId="9" fillId="0" borderId="15" xfId="0" applyNumberFormat="1" applyFont="1" applyFill="1" applyBorder="1" applyAlignment="1" applyProtection="1">
      <alignment horizontal="right" vertical="center"/>
      <protection locked="0"/>
    </xf>
    <xf numFmtId="37" fontId="9" fillId="0" borderId="16" xfId="0" applyNumberFormat="1" applyFont="1" applyFill="1" applyBorder="1" applyAlignment="1" applyProtection="1">
      <alignment horizontal="right" vertical="center"/>
      <protection locked="0"/>
    </xf>
    <xf numFmtId="37" fontId="8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m/My%20Documents/Meter%20Calc%20Sheet%20&amp;%20Report/AVEK%20Customer%20Water%20Delivery%20Report/2000-2009/2006/2006W1%20031607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 Feeder - Meter Sheet 2006 "/>
      <sheetName val="North Feeder - Meter Sheet 2006"/>
      <sheetName val="South Feeder - Meter Sheet 2006"/>
      <sheetName val="East Feeder - Meter Sheet 2006"/>
      <sheetName val="Acton Feeder - Meter Sheet 2006"/>
      <sheetName val="LACWW Well - Meter Sheet 2006"/>
      <sheetName val="Frances Lane - Meter Reads 2006"/>
      <sheetName val="DATES - AVEK &amp; DWR Meter Reads"/>
      <sheetName val="REF ONLY - DWR Report 2006"/>
      <sheetName val="DWR Meters - Transposed 2006"/>
      <sheetName val="2006W1 Meter Read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9">
          <cell r="CM9">
            <v>24.42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6"/>
  <sheetViews>
    <sheetView tabSelected="1" workbookViewId="0">
      <selection activeCell="A16" sqref="A16"/>
    </sheetView>
  </sheetViews>
  <sheetFormatPr defaultRowHeight="14.25" x14ac:dyDescent="0.2"/>
  <cols>
    <col min="1" max="1" width="89.5" bestFit="1" customWidth="1"/>
    <col min="2" max="2" width="28.25" bestFit="1" customWidth="1"/>
  </cols>
  <sheetData>
    <row r="1" spans="1:42" ht="20.25" x14ac:dyDescent="0.3">
      <c r="A1" s="1" t="s">
        <v>0</v>
      </c>
      <c r="B1" s="1"/>
      <c r="C1" s="2"/>
      <c r="D1" s="2"/>
      <c r="E1" s="2"/>
      <c r="F1" s="2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4"/>
      <c r="AE1" s="4"/>
      <c r="AF1" s="4"/>
      <c r="AG1" s="4"/>
      <c r="AH1" s="4"/>
      <c r="AI1" s="4"/>
      <c r="AJ1" s="4"/>
      <c r="AK1" s="4"/>
      <c r="AL1" s="4"/>
      <c r="AM1" s="4"/>
      <c r="AN1" s="6"/>
      <c r="AO1" s="7"/>
      <c r="AP1" s="8"/>
    </row>
    <row r="2" spans="1:42" ht="21" thickBot="1" x14ac:dyDescent="0.35">
      <c r="A2" s="9" t="s">
        <v>1</v>
      </c>
      <c r="B2" s="10"/>
      <c r="C2" s="11"/>
      <c r="D2" s="11"/>
      <c r="E2" s="11"/>
      <c r="F2" s="11"/>
      <c r="G2" s="10"/>
      <c r="H2" s="10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3"/>
      <c r="AC2" s="13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4"/>
      <c r="AO2" s="15"/>
      <c r="AP2" s="16"/>
    </row>
    <row r="3" spans="1:42" ht="21" thickTop="1" x14ac:dyDescent="0.3">
      <c r="A3" s="17" t="s">
        <v>2</v>
      </c>
      <c r="B3" s="18">
        <v>41684</v>
      </c>
      <c r="C3" s="2"/>
      <c r="D3" s="2"/>
      <c r="E3" s="2"/>
      <c r="F3" s="2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4"/>
      <c r="AE3" s="4"/>
      <c r="AF3" s="4"/>
      <c r="AG3" s="4"/>
      <c r="AH3" s="4"/>
      <c r="AI3" s="4"/>
      <c r="AJ3" s="4"/>
      <c r="AK3" s="4"/>
      <c r="AL3" s="4"/>
      <c r="AM3" s="4"/>
      <c r="AN3" s="6"/>
      <c r="AO3" s="7"/>
      <c r="AP3" s="8"/>
    </row>
    <row r="4" spans="1:42" ht="15" x14ac:dyDescent="0.25">
      <c r="A4" s="17"/>
      <c r="B4" s="17"/>
      <c r="C4" s="17"/>
      <c r="D4" s="17"/>
      <c r="E4" s="17"/>
      <c r="F4" s="17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1"/>
      <c r="AB4" s="21"/>
      <c r="AC4" s="21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2"/>
      <c r="AO4" s="23"/>
      <c r="AP4" s="24"/>
    </row>
    <row r="5" spans="1:42" ht="15" x14ac:dyDescent="0.25">
      <c r="A5" s="25" t="s">
        <v>3</v>
      </c>
      <c r="B5" s="26" t="s">
        <v>4</v>
      </c>
      <c r="C5" s="25">
        <f t="shared" ref="C5:AK5" si="0">D5+1</f>
        <v>2012</v>
      </c>
      <c r="D5" s="25">
        <f t="shared" si="0"/>
        <v>2011</v>
      </c>
      <c r="E5" s="25">
        <f t="shared" si="0"/>
        <v>2010</v>
      </c>
      <c r="F5" s="25">
        <f t="shared" si="0"/>
        <v>2009</v>
      </c>
      <c r="G5" s="25">
        <f t="shared" si="0"/>
        <v>2008</v>
      </c>
      <c r="H5" s="25">
        <f t="shared" si="0"/>
        <v>2007</v>
      </c>
      <c r="I5" s="27">
        <f t="shared" si="0"/>
        <v>2006</v>
      </c>
      <c r="J5" s="27">
        <f t="shared" si="0"/>
        <v>2005</v>
      </c>
      <c r="K5" s="27">
        <f t="shared" si="0"/>
        <v>2004</v>
      </c>
      <c r="L5" s="27">
        <f t="shared" si="0"/>
        <v>2003</v>
      </c>
      <c r="M5" s="27">
        <f>N5+1</f>
        <v>2002</v>
      </c>
      <c r="N5" s="27">
        <f>O5+1</f>
        <v>2001</v>
      </c>
      <c r="O5" s="27">
        <f>P5+1</f>
        <v>2000</v>
      </c>
      <c r="P5" s="27">
        <f t="shared" si="0"/>
        <v>1999</v>
      </c>
      <c r="Q5" s="27">
        <f t="shared" si="0"/>
        <v>1998</v>
      </c>
      <c r="R5" s="27">
        <f t="shared" si="0"/>
        <v>1997</v>
      </c>
      <c r="S5" s="27">
        <f t="shared" si="0"/>
        <v>1996</v>
      </c>
      <c r="T5" s="27">
        <f t="shared" si="0"/>
        <v>1995</v>
      </c>
      <c r="U5" s="27">
        <f t="shared" si="0"/>
        <v>1994</v>
      </c>
      <c r="V5" s="27">
        <f t="shared" si="0"/>
        <v>1993</v>
      </c>
      <c r="W5" s="27">
        <f t="shared" si="0"/>
        <v>1992</v>
      </c>
      <c r="X5" s="27">
        <f t="shared" si="0"/>
        <v>1991</v>
      </c>
      <c r="Y5" s="27">
        <f t="shared" si="0"/>
        <v>1990</v>
      </c>
      <c r="Z5" s="27">
        <f t="shared" si="0"/>
        <v>1989</v>
      </c>
      <c r="AA5" s="27">
        <f t="shared" si="0"/>
        <v>1988</v>
      </c>
      <c r="AB5" s="27">
        <f t="shared" si="0"/>
        <v>1987</v>
      </c>
      <c r="AC5" s="27">
        <f t="shared" si="0"/>
        <v>1986</v>
      </c>
      <c r="AD5" s="27">
        <f t="shared" si="0"/>
        <v>1985</v>
      </c>
      <c r="AE5" s="27">
        <f t="shared" si="0"/>
        <v>1984</v>
      </c>
      <c r="AF5" s="27">
        <f t="shared" si="0"/>
        <v>1983</v>
      </c>
      <c r="AG5" s="27">
        <f t="shared" si="0"/>
        <v>1982</v>
      </c>
      <c r="AH5" s="27">
        <f t="shared" si="0"/>
        <v>1981</v>
      </c>
      <c r="AI5" s="27">
        <f t="shared" si="0"/>
        <v>1980</v>
      </c>
      <c r="AJ5" s="27">
        <f t="shared" si="0"/>
        <v>1979</v>
      </c>
      <c r="AK5" s="27">
        <f t="shared" si="0"/>
        <v>1978</v>
      </c>
      <c r="AL5" s="27">
        <f>AM5+1</f>
        <v>1977</v>
      </c>
      <c r="AM5" s="27">
        <v>1976</v>
      </c>
      <c r="AN5" s="28" t="s">
        <v>5</v>
      </c>
      <c r="AO5" s="29" t="s">
        <v>6</v>
      </c>
      <c r="AP5" s="30" t="s">
        <v>7</v>
      </c>
    </row>
    <row r="6" spans="1:42" ht="15" x14ac:dyDescent="0.25">
      <c r="A6" s="31" t="s">
        <v>8</v>
      </c>
      <c r="B6" s="31" t="s">
        <v>8</v>
      </c>
      <c r="C6" s="32"/>
      <c r="D6" s="32"/>
      <c r="E6" s="32"/>
      <c r="F6" s="32"/>
      <c r="G6" s="32"/>
      <c r="H6" s="32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4"/>
      <c r="AO6" s="35"/>
      <c r="AP6" s="36"/>
    </row>
    <row r="7" spans="1:42" x14ac:dyDescent="0.2">
      <c r="A7" s="37" t="s">
        <v>9</v>
      </c>
      <c r="B7" s="37" t="s">
        <v>10</v>
      </c>
      <c r="C7" s="38">
        <v>5.5</v>
      </c>
      <c r="D7" s="38">
        <v>5.5</v>
      </c>
      <c r="E7" s="38">
        <v>5.5</v>
      </c>
      <c r="F7" s="38">
        <v>5.5</v>
      </c>
      <c r="G7" s="40">
        <v>6</v>
      </c>
      <c r="H7" s="40">
        <v>6</v>
      </c>
      <c r="I7" s="41">
        <v>5.75</v>
      </c>
      <c r="J7" s="42">
        <v>17.75</v>
      </c>
      <c r="K7" s="41">
        <v>2</v>
      </c>
      <c r="L7" s="41">
        <v>6</v>
      </c>
      <c r="M7" s="41">
        <v>6</v>
      </c>
      <c r="N7" s="41">
        <v>8.25</v>
      </c>
      <c r="O7" s="41">
        <v>1.5</v>
      </c>
      <c r="P7" s="41">
        <v>4</v>
      </c>
      <c r="Q7" s="41">
        <v>4</v>
      </c>
      <c r="R7" s="41">
        <v>4</v>
      </c>
      <c r="S7" s="41">
        <v>3</v>
      </c>
      <c r="T7" s="43" t="s">
        <v>11</v>
      </c>
      <c r="U7" s="43" t="s">
        <v>11</v>
      </c>
      <c r="V7" s="43" t="s">
        <v>11</v>
      </c>
      <c r="W7" s="41">
        <v>16</v>
      </c>
      <c r="X7" s="41">
        <v>6</v>
      </c>
      <c r="Y7" s="41">
        <v>7</v>
      </c>
      <c r="Z7" s="41">
        <v>6</v>
      </c>
      <c r="AA7" s="41">
        <v>5</v>
      </c>
      <c r="AB7" s="41">
        <v>7</v>
      </c>
      <c r="AC7" s="41">
        <v>12</v>
      </c>
      <c r="AD7" s="43" t="s">
        <v>11</v>
      </c>
      <c r="AE7" s="43" t="s">
        <v>11</v>
      </c>
      <c r="AF7" s="43" t="s">
        <v>11</v>
      </c>
      <c r="AG7" s="43" t="s">
        <v>11</v>
      </c>
      <c r="AH7" s="43" t="s">
        <v>11</v>
      </c>
      <c r="AI7" s="43" t="s">
        <v>11</v>
      </c>
      <c r="AJ7" s="43" t="s">
        <v>11</v>
      </c>
      <c r="AK7" s="43" t="s">
        <v>11</v>
      </c>
      <c r="AL7" s="43" t="s">
        <v>11</v>
      </c>
      <c r="AM7" s="43" t="s">
        <v>11</v>
      </c>
      <c r="AN7" s="44">
        <f t="shared" ref="AN7:AN60" si="1">SUM(C7:AM7)</f>
        <v>155.25</v>
      </c>
      <c r="AO7" s="45" t="s">
        <v>12</v>
      </c>
      <c r="AP7" s="46" t="s">
        <v>13</v>
      </c>
    </row>
    <row r="8" spans="1:42" x14ac:dyDescent="0.2">
      <c r="A8" s="37" t="s">
        <v>14</v>
      </c>
      <c r="B8" s="37" t="s">
        <v>15</v>
      </c>
      <c r="C8" s="38">
        <v>0</v>
      </c>
      <c r="D8" s="38">
        <v>0</v>
      </c>
      <c r="E8" s="38">
        <v>0.5</v>
      </c>
      <c r="F8" s="38">
        <v>1.99</v>
      </c>
      <c r="G8" s="38">
        <v>0.5</v>
      </c>
      <c r="H8" s="38">
        <v>0.5</v>
      </c>
      <c r="I8" s="42">
        <v>0</v>
      </c>
      <c r="J8" s="42">
        <v>0.5</v>
      </c>
      <c r="K8" s="43" t="s">
        <v>11</v>
      </c>
      <c r="L8" s="43" t="s">
        <v>11</v>
      </c>
      <c r="M8" s="43" t="s">
        <v>11</v>
      </c>
      <c r="N8" s="41">
        <v>1587.58</v>
      </c>
      <c r="O8" s="43">
        <v>2332.9600000000005</v>
      </c>
      <c r="P8" s="43" t="s">
        <v>11</v>
      </c>
      <c r="Q8" s="43" t="s">
        <v>11</v>
      </c>
      <c r="R8" s="43" t="s">
        <v>11</v>
      </c>
      <c r="S8" s="43" t="s">
        <v>11</v>
      </c>
      <c r="T8" s="43" t="s">
        <v>11</v>
      </c>
      <c r="U8" s="43" t="s">
        <v>11</v>
      </c>
      <c r="V8" s="43" t="s">
        <v>11</v>
      </c>
      <c r="W8" s="43" t="s">
        <v>11</v>
      </c>
      <c r="X8" s="43" t="s">
        <v>11</v>
      </c>
      <c r="Y8" s="43" t="s">
        <v>11</v>
      </c>
      <c r="Z8" s="43" t="s">
        <v>11</v>
      </c>
      <c r="AA8" s="43" t="s">
        <v>11</v>
      </c>
      <c r="AB8" s="43" t="s">
        <v>11</v>
      </c>
      <c r="AC8" s="43" t="s">
        <v>11</v>
      </c>
      <c r="AD8" s="43" t="s">
        <v>11</v>
      </c>
      <c r="AE8" s="43" t="s">
        <v>11</v>
      </c>
      <c r="AF8" s="43" t="s">
        <v>11</v>
      </c>
      <c r="AG8" s="43" t="s">
        <v>11</v>
      </c>
      <c r="AH8" s="43" t="s">
        <v>11</v>
      </c>
      <c r="AI8" s="43" t="s">
        <v>11</v>
      </c>
      <c r="AJ8" s="43" t="s">
        <v>11</v>
      </c>
      <c r="AK8" s="43" t="s">
        <v>11</v>
      </c>
      <c r="AL8" s="43" t="s">
        <v>11</v>
      </c>
      <c r="AM8" s="43" t="s">
        <v>11</v>
      </c>
      <c r="AN8" s="44">
        <f t="shared" si="1"/>
        <v>3924.5300000000007</v>
      </c>
      <c r="AO8" s="45" t="s">
        <v>12</v>
      </c>
      <c r="AP8" s="46" t="s">
        <v>13</v>
      </c>
    </row>
    <row r="9" spans="1:42" x14ac:dyDescent="0.2">
      <c r="A9" s="37" t="s">
        <v>16</v>
      </c>
      <c r="B9" s="37" t="s">
        <v>17</v>
      </c>
      <c r="C9" s="38">
        <v>0</v>
      </c>
      <c r="D9" s="38">
        <v>0</v>
      </c>
      <c r="E9" s="38">
        <v>60.5</v>
      </c>
      <c r="F9" s="38">
        <v>0</v>
      </c>
      <c r="G9" s="38">
        <v>0</v>
      </c>
      <c r="H9" s="38">
        <v>0</v>
      </c>
      <c r="I9" s="42">
        <v>0</v>
      </c>
      <c r="J9" s="42">
        <v>0</v>
      </c>
      <c r="K9" s="42">
        <v>0</v>
      </c>
      <c r="L9" s="42">
        <v>0</v>
      </c>
      <c r="M9" s="42">
        <v>1183.1600000000001</v>
      </c>
      <c r="N9" s="42">
        <v>1566.57</v>
      </c>
      <c r="O9" s="42">
        <v>1975.42</v>
      </c>
      <c r="P9" s="42">
        <v>1563.7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784.83</v>
      </c>
      <c r="AD9" s="42">
        <v>2114.02</v>
      </c>
      <c r="AE9" s="42">
        <v>136.1</v>
      </c>
      <c r="AF9" s="42">
        <v>1029.22</v>
      </c>
      <c r="AG9" s="42">
        <v>1996.26</v>
      </c>
      <c r="AH9" s="42">
        <v>2965.3</v>
      </c>
      <c r="AI9" s="42">
        <v>2065.8200000000002</v>
      </c>
      <c r="AJ9" s="42">
        <v>1596.85</v>
      </c>
      <c r="AK9" s="42">
        <v>1150.6600000000001</v>
      </c>
      <c r="AL9" s="42">
        <v>2580.21</v>
      </c>
      <c r="AM9" s="43" t="s">
        <v>11</v>
      </c>
      <c r="AN9" s="44">
        <f t="shared" si="1"/>
        <v>22768.619999999995</v>
      </c>
      <c r="AO9" s="45" t="s">
        <v>12</v>
      </c>
      <c r="AP9" s="46" t="s">
        <v>13</v>
      </c>
    </row>
    <row r="10" spans="1:42" x14ac:dyDescent="0.2">
      <c r="A10" s="47" t="s">
        <v>18</v>
      </c>
      <c r="B10" s="48" t="s">
        <v>19</v>
      </c>
      <c r="C10" s="39">
        <v>0</v>
      </c>
      <c r="D10" s="39">
        <v>1</v>
      </c>
      <c r="E10" s="39">
        <v>0</v>
      </c>
      <c r="F10" s="39">
        <v>0</v>
      </c>
      <c r="G10" s="39">
        <v>0</v>
      </c>
      <c r="H10" s="39">
        <v>352.51011111111109</v>
      </c>
      <c r="I10" s="49">
        <f>'[1]2006W1 Meter Read Sheet'!$CM$9</f>
        <v>24.42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542.33000000000004</v>
      </c>
      <c r="P10" s="49">
        <v>284.87</v>
      </c>
      <c r="Q10" s="49">
        <v>382.59</v>
      </c>
      <c r="R10" s="49">
        <v>376.25</v>
      </c>
      <c r="S10" s="49">
        <v>386.13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404.5</v>
      </c>
      <c r="AF10" s="49">
        <v>0</v>
      </c>
      <c r="AG10" s="49">
        <v>535.96</v>
      </c>
      <c r="AH10" s="49">
        <v>534.42999999999995</v>
      </c>
      <c r="AI10" s="49">
        <v>409.88</v>
      </c>
      <c r="AJ10" s="49">
        <v>408.13</v>
      </c>
      <c r="AK10" s="49">
        <v>195.58</v>
      </c>
      <c r="AL10" s="50" t="s">
        <v>11</v>
      </c>
      <c r="AM10" s="50" t="s">
        <v>11</v>
      </c>
      <c r="AN10" s="51">
        <f t="shared" si="1"/>
        <v>4838.5801111111105</v>
      </c>
      <c r="AO10" s="52" t="s">
        <v>12</v>
      </c>
      <c r="AP10" s="53" t="s">
        <v>13</v>
      </c>
    </row>
    <row r="11" spans="1:42" x14ac:dyDescent="0.2">
      <c r="A11" s="48" t="s">
        <v>20</v>
      </c>
      <c r="B11" s="48" t="s">
        <v>21</v>
      </c>
      <c r="C11" s="39">
        <v>3228.26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49">
        <v>0</v>
      </c>
      <c r="J11" s="49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1">
        <f t="shared" si="1"/>
        <v>3228.26</v>
      </c>
      <c r="AO11" s="52" t="s">
        <v>12</v>
      </c>
      <c r="AP11" s="53" t="s">
        <v>13</v>
      </c>
    </row>
    <row r="12" spans="1:42" x14ac:dyDescent="0.2">
      <c r="A12" s="48" t="s">
        <v>20</v>
      </c>
      <c r="B12" s="48" t="s">
        <v>22</v>
      </c>
      <c r="C12" s="39">
        <v>11974.19</v>
      </c>
      <c r="D12" s="39">
        <v>5040.6400000000003</v>
      </c>
      <c r="E12" s="39">
        <v>0</v>
      </c>
      <c r="F12" s="39">
        <v>0</v>
      </c>
      <c r="G12" s="39">
        <v>0</v>
      </c>
      <c r="H12" s="39">
        <v>0</v>
      </c>
      <c r="I12" s="49">
        <v>0</v>
      </c>
      <c r="J12" s="49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1">
        <f t="shared" si="1"/>
        <v>17014.830000000002</v>
      </c>
      <c r="AO12" s="52" t="s">
        <v>12</v>
      </c>
      <c r="AP12" s="53" t="s">
        <v>13</v>
      </c>
    </row>
    <row r="13" spans="1:42" x14ac:dyDescent="0.2">
      <c r="A13" s="48" t="s">
        <v>23</v>
      </c>
      <c r="B13" s="48" t="s">
        <v>24</v>
      </c>
      <c r="C13" s="39">
        <v>0</v>
      </c>
      <c r="D13" s="39">
        <v>290.88</v>
      </c>
      <c r="E13" s="39">
        <v>412.04</v>
      </c>
      <c r="F13" s="39">
        <v>67.599999999999994</v>
      </c>
      <c r="G13" s="39">
        <v>9.06</v>
      </c>
      <c r="H13" s="39">
        <v>1341.3600000000001</v>
      </c>
      <c r="I13" s="49">
        <v>0</v>
      </c>
      <c r="J13" s="49">
        <v>293.49</v>
      </c>
      <c r="K13" s="49">
        <v>724.27</v>
      </c>
      <c r="L13" s="49">
        <f>179+313.11</f>
        <v>492.11</v>
      </c>
      <c r="M13" s="49">
        <v>717.24</v>
      </c>
      <c r="N13" s="54">
        <v>911.26</v>
      </c>
      <c r="O13" s="49">
        <v>1561.71</v>
      </c>
      <c r="P13" s="49">
        <v>1555.53</v>
      </c>
      <c r="Q13" s="49">
        <v>1082.21</v>
      </c>
      <c r="R13" s="49">
        <v>1459.39</v>
      </c>
      <c r="S13" s="49">
        <v>1321.53</v>
      </c>
      <c r="T13" s="49">
        <v>594.04999999999995</v>
      </c>
      <c r="U13" s="49">
        <v>606.36</v>
      </c>
      <c r="V13" s="49">
        <v>825.8</v>
      </c>
      <c r="W13" s="49">
        <v>286.39</v>
      </c>
      <c r="X13" s="49">
        <v>0</v>
      </c>
      <c r="Y13" s="49">
        <v>1387.98</v>
      </c>
      <c r="Z13" s="49">
        <v>1294</v>
      </c>
      <c r="AA13" s="49">
        <v>1383</v>
      </c>
      <c r="AB13" s="49">
        <v>1814</v>
      </c>
      <c r="AC13" s="49">
        <v>896</v>
      </c>
      <c r="AD13" s="49">
        <v>1736</v>
      </c>
      <c r="AE13" s="49">
        <v>1855</v>
      </c>
      <c r="AF13" s="49">
        <v>1575</v>
      </c>
      <c r="AG13" s="49">
        <v>2231</v>
      </c>
      <c r="AH13" s="49">
        <v>3143</v>
      </c>
      <c r="AI13" s="49">
        <v>2250</v>
      </c>
      <c r="AJ13" s="49">
        <v>2360</v>
      </c>
      <c r="AK13" s="49">
        <v>1947</v>
      </c>
      <c r="AL13" s="49">
        <v>413.8</v>
      </c>
      <c r="AM13" s="50" t="s">
        <v>11</v>
      </c>
      <c r="AN13" s="51">
        <f t="shared" si="1"/>
        <v>38838.060000000005</v>
      </c>
      <c r="AO13" s="52" t="s">
        <v>12</v>
      </c>
      <c r="AP13" s="53" t="s">
        <v>13</v>
      </c>
    </row>
    <row r="14" spans="1:42" x14ac:dyDescent="0.2">
      <c r="A14" s="48" t="s">
        <v>20</v>
      </c>
      <c r="B14" s="48" t="s">
        <v>25</v>
      </c>
      <c r="C14" s="39">
        <v>4240.3599999999997</v>
      </c>
      <c r="D14" s="39">
        <v>6218.46</v>
      </c>
      <c r="E14" s="39">
        <v>68.95</v>
      </c>
      <c r="F14" s="39">
        <v>0</v>
      </c>
      <c r="G14" s="39">
        <v>0</v>
      </c>
      <c r="H14" s="39">
        <v>0</v>
      </c>
      <c r="I14" s="49">
        <v>0</v>
      </c>
      <c r="J14" s="49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1">
        <f t="shared" si="1"/>
        <v>10527.77</v>
      </c>
      <c r="AO14" s="52" t="s">
        <v>12</v>
      </c>
      <c r="AP14" s="53" t="s">
        <v>13</v>
      </c>
    </row>
    <row r="15" spans="1:42" x14ac:dyDescent="0.2">
      <c r="A15" s="37" t="s">
        <v>26</v>
      </c>
      <c r="B15" s="37" t="s">
        <v>27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42">
        <v>0</v>
      </c>
      <c r="J15" s="42">
        <v>736.59</v>
      </c>
      <c r="K15" s="43">
        <v>931.63</v>
      </c>
      <c r="L15" s="43" t="s">
        <v>11</v>
      </c>
      <c r="M15" s="43" t="s">
        <v>11</v>
      </c>
      <c r="N15" s="41">
        <v>615.34</v>
      </c>
      <c r="O15" s="43">
        <v>596.44999999999993</v>
      </c>
      <c r="P15" s="43" t="s">
        <v>11</v>
      </c>
      <c r="Q15" s="43" t="s">
        <v>11</v>
      </c>
      <c r="R15" s="43" t="s">
        <v>11</v>
      </c>
      <c r="S15" s="43" t="s">
        <v>11</v>
      </c>
      <c r="T15" s="43" t="s">
        <v>11</v>
      </c>
      <c r="U15" s="43" t="s">
        <v>11</v>
      </c>
      <c r="V15" s="43" t="s">
        <v>11</v>
      </c>
      <c r="W15" s="43" t="s">
        <v>11</v>
      </c>
      <c r="X15" s="43" t="s">
        <v>11</v>
      </c>
      <c r="Y15" s="43" t="s">
        <v>11</v>
      </c>
      <c r="Z15" s="43" t="s">
        <v>11</v>
      </c>
      <c r="AA15" s="43" t="s">
        <v>11</v>
      </c>
      <c r="AB15" s="43" t="s">
        <v>11</v>
      </c>
      <c r="AC15" s="43" t="s">
        <v>11</v>
      </c>
      <c r="AD15" s="43" t="s">
        <v>11</v>
      </c>
      <c r="AE15" s="43" t="s">
        <v>11</v>
      </c>
      <c r="AF15" s="43" t="s">
        <v>11</v>
      </c>
      <c r="AG15" s="43" t="s">
        <v>11</v>
      </c>
      <c r="AH15" s="43" t="s">
        <v>11</v>
      </c>
      <c r="AI15" s="43" t="s">
        <v>11</v>
      </c>
      <c r="AJ15" s="43" t="s">
        <v>11</v>
      </c>
      <c r="AK15" s="43" t="s">
        <v>11</v>
      </c>
      <c r="AL15" s="43" t="s">
        <v>11</v>
      </c>
      <c r="AM15" s="43" t="s">
        <v>11</v>
      </c>
      <c r="AN15" s="44">
        <f t="shared" si="1"/>
        <v>2880.0099999999998</v>
      </c>
      <c r="AO15" s="45" t="s">
        <v>12</v>
      </c>
      <c r="AP15" s="46" t="s">
        <v>13</v>
      </c>
    </row>
    <row r="16" spans="1:42" x14ac:dyDescent="0.2">
      <c r="A16" s="37" t="s">
        <v>28</v>
      </c>
      <c r="B16" s="37" t="s">
        <v>29</v>
      </c>
      <c r="C16" s="38">
        <v>0</v>
      </c>
      <c r="D16" s="38">
        <v>1491.81</v>
      </c>
      <c r="E16" s="38">
        <v>1960.68</v>
      </c>
      <c r="F16" s="38">
        <v>132.67000000000002</v>
      </c>
      <c r="G16" s="38">
        <v>0</v>
      </c>
      <c r="H16" s="38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1">
        <v>512.58999999999992</v>
      </c>
      <c r="O16" s="42">
        <v>908.46</v>
      </c>
      <c r="P16" s="42">
        <v>1015.95</v>
      </c>
      <c r="Q16" s="42">
        <v>963.21</v>
      </c>
      <c r="R16" s="42">
        <v>1648.5</v>
      </c>
      <c r="S16" s="42">
        <v>1749.11</v>
      </c>
      <c r="T16" s="42">
        <v>2016.62</v>
      </c>
      <c r="U16" s="42">
        <v>2235.13</v>
      </c>
      <c r="V16" s="42">
        <v>1490.41</v>
      </c>
      <c r="W16" s="42">
        <v>837.9</v>
      </c>
      <c r="X16" s="42">
        <v>0</v>
      </c>
      <c r="Y16" s="42">
        <v>2455.23</v>
      </c>
      <c r="Z16" s="42">
        <v>1617</v>
      </c>
      <c r="AA16" s="42">
        <v>1556</v>
      </c>
      <c r="AB16" s="42">
        <v>1831</v>
      </c>
      <c r="AC16" s="42">
        <v>1998</v>
      </c>
      <c r="AD16" s="42">
        <v>2547</v>
      </c>
      <c r="AE16" s="42">
        <v>1494</v>
      </c>
      <c r="AF16" s="42">
        <v>1300</v>
      </c>
      <c r="AG16" s="42">
        <v>2374</v>
      </c>
      <c r="AH16" s="42">
        <v>2669</v>
      </c>
      <c r="AI16" s="42">
        <v>2512</v>
      </c>
      <c r="AJ16" s="42">
        <v>2558</v>
      </c>
      <c r="AK16" s="42">
        <v>139</v>
      </c>
      <c r="AL16" s="43" t="s">
        <v>11</v>
      </c>
      <c r="AM16" s="43" t="s">
        <v>11</v>
      </c>
      <c r="AN16" s="44">
        <f t="shared" si="1"/>
        <v>42013.270000000004</v>
      </c>
      <c r="AO16" s="45" t="s">
        <v>12</v>
      </c>
      <c r="AP16" s="46" t="s">
        <v>13</v>
      </c>
    </row>
    <row r="17" spans="1:42" x14ac:dyDescent="0.2">
      <c r="A17" s="37" t="s">
        <v>20</v>
      </c>
      <c r="B17" s="37" t="s">
        <v>30</v>
      </c>
      <c r="C17" s="38">
        <v>3161.77</v>
      </c>
      <c r="D17" s="38">
        <v>1858.41</v>
      </c>
      <c r="E17" s="38">
        <v>353.46</v>
      </c>
      <c r="F17" s="38">
        <v>0</v>
      </c>
      <c r="G17" s="38">
        <v>0</v>
      </c>
      <c r="H17" s="38">
        <v>0</v>
      </c>
      <c r="I17" s="42">
        <v>0</v>
      </c>
      <c r="J17" s="42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4">
        <f t="shared" si="1"/>
        <v>5373.64</v>
      </c>
      <c r="AO17" s="45" t="s">
        <v>12</v>
      </c>
      <c r="AP17" s="46" t="s">
        <v>13</v>
      </c>
    </row>
    <row r="18" spans="1:42" x14ac:dyDescent="0.2">
      <c r="A18" s="37" t="s">
        <v>31</v>
      </c>
      <c r="B18" s="37" t="s">
        <v>32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42">
        <v>0</v>
      </c>
      <c r="J18" s="42">
        <v>0</v>
      </c>
      <c r="K18" s="43">
        <v>0</v>
      </c>
      <c r="L18" s="43">
        <v>0</v>
      </c>
      <c r="M18" s="43">
        <v>0</v>
      </c>
      <c r="N18" s="41">
        <v>30.27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4">
        <f t="shared" si="1"/>
        <v>30.27</v>
      </c>
      <c r="AO18" s="45" t="s">
        <v>12</v>
      </c>
      <c r="AP18" s="46" t="s">
        <v>13</v>
      </c>
    </row>
    <row r="19" spans="1:42" x14ac:dyDescent="0.2">
      <c r="A19" s="37" t="s">
        <v>33</v>
      </c>
      <c r="B19" s="37" t="s">
        <v>34</v>
      </c>
      <c r="C19" s="55">
        <v>0</v>
      </c>
      <c r="D19" s="38">
        <v>571.49</v>
      </c>
      <c r="E19" s="38">
        <v>193.82</v>
      </c>
      <c r="F19" s="38">
        <v>0</v>
      </c>
      <c r="G19" s="38">
        <v>0</v>
      </c>
      <c r="H19" s="38">
        <v>1593.49</v>
      </c>
      <c r="I19" s="42">
        <v>3.92</v>
      </c>
      <c r="J19" s="42">
        <v>681.86</v>
      </c>
      <c r="K19" s="42">
        <v>325.10000000000002</v>
      </c>
      <c r="L19" s="42">
        <v>27</v>
      </c>
      <c r="M19" s="42">
        <v>779.19</v>
      </c>
      <c r="N19" s="42">
        <v>547.20000000000005</v>
      </c>
      <c r="O19" s="42">
        <v>1338.1200000000001</v>
      </c>
      <c r="P19" s="42">
        <f>1086.48+515.21</f>
        <v>1601.69</v>
      </c>
      <c r="Q19" s="42">
        <v>857.65</v>
      </c>
      <c r="R19" s="42">
        <v>1244.0899999999999</v>
      </c>
      <c r="S19" s="42">
        <v>1049.71</v>
      </c>
      <c r="T19" s="42">
        <v>919</v>
      </c>
      <c r="U19" s="42">
        <v>1357.05</v>
      </c>
      <c r="V19" s="42">
        <v>1194.03</v>
      </c>
      <c r="W19" s="42">
        <v>479.42</v>
      </c>
      <c r="X19" s="42">
        <v>0</v>
      </c>
      <c r="Y19" s="42">
        <v>1188.4000000000001</v>
      </c>
      <c r="Z19" s="42">
        <v>1156</v>
      </c>
      <c r="AA19" s="42">
        <v>872</v>
      </c>
      <c r="AB19" s="42">
        <v>889</v>
      </c>
      <c r="AC19" s="42">
        <v>1638</v>
      </c>
      <c r="AD19" s="42">
        <v>1573</v>
      </c>
      <c r="AE19" s="42">
        <v>1233</v>
      </c>
      <c r="AF19" s="42">
        <v>1083</v>
      </c>
      <c r="AG19" s="42">
        <v>1192</v>
      </c>
      <c r="AH19" s="42">
        <v>1390</v>
      </c>
      <c r="AI19" s="42">
        <v>1085</v>
      </c>
      <c r="AJ19" s="42">
        <v>1085</v>
      </c>
      <c r="AK19" s="42">
        <v>839</v>
      </c>
      <c r="AL19" s="42">
        <v>169.31</v>
      </c>
      <c r="AM19" s="43" t="s">
        <v>11</v>
      </c>
      <c r="AN19" s="44">
        <f t="shared" si="1"/>
        <v>30156.540000000005</v>
      </c>
      <c r="AO19" s="45" t="s">
        <v>12</v>
      </c>
      <c r="AP19" s="46" t="s">
        <v>13</v>
      </c>
    </row>
    <row r="20" spans="1:42" x14ac:dyDescent="0.2">
      <c r="A20" s="48" t="s">
        <v>20</v>
      </c>
      <c r="B20" s="48" t="s">
        <v>35</v>
      </c>
      <c r="C20" s="39">
        <v>565.77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9">
        <v>0</v>
      </c>
      <c r="J20" s="49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1">
        <f t="shared" si="1"/>
        <v>565.77</v>
      </c>
      <c r="AO20" s="52" t="s">
        <v>12</v>
      </c>
      <c r="AP20" s="53" t="s">
        <v>13</v>
      </c>
    </row>
    <row r="21" spans="1:42" x14ac:dyDescent="0.2">
      <c r="A21" s="48" t="s">
        <v>36</v>
      </c>
      <c r="B21" s="48" t="s">
        <v>37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49">
        <v>0</v>
      </c>
      <c r="J21" s="49">
        <v>570.63</v>
      </c>
      <c r="K21" s="50" t="s">
        <v>11</v>
      </c>
      <c r="L21" s="50" t="s">
        <v>11</v>
      </c>
      <c r="M21" s="50" t="s">
        <v>11</v>
      </c>
      <c r="N21" s="50" t="s">
        <v>11</v>
      </c>
      <c r="O21" s="50">
        <v>0</v>
      </c>
      <c r="P21" s="50" t="s">
        <v>11</v>
      </c>
      <c r="Q21" s="50" t="s">
        <v>11</v>
      </c>
      <c r="R21" s="50" t="s">
        <v>11</v>
      </c>
      <c r="S21" s="50" t="s">
        <v>11</v>
      </c>
      <c r="T21" s="50" t="s">
        <v>11</v>
      </c>
      <c r="U21" s="50" t="s">
        <v>11</v>
      </c>
      <c r="V21" s="50" t="s">
        <v>11</v>
      </c>
      <c r="W21" s="50" t="s">
        <v>11</v>
      </c>
      <c r="X21" s="50" t="s">
        <v>11</v>
      </c>
      <c r="Y21" s="50" t="s">
        <v>11</v>
      </c>
      <c r="Z21" s="50" t="s">
        <v>11</v>
      </c>
      <c r="AA21" s="50" t="s">
        <v>11</v>
      </c>
      <c r="AB21" s="50" t="s">
        <v>11</v>
      </c>
      <c r="AC21" s="50" t="s">
        <v>11</v>
      </c>
      <c r="AD21" s="50" t="s">
        <v>11</v>
      </c>
      <c r="AE21" s="50" t="s">
        <v>11</v>
      </c>
      <c r="AF21" s="50" t="s">
        <v>11</v>
      </c>
      <c r="AG21" s="50" t="s">
        <v>11</v>
      </c>
      <c r="AH21" s="50" t="s">
        <v>11</v>
      </c>
      <c r="AI21" s="50" t="s">
        <v>11</v>
      </c>
      <c r="AJ21" s="50" t="s">
        <v>11</v>
      </c>
      <c r="AK21" s="50" t="s">
        <v>11</v>
      </c>
      <c r="AL21" s="50" t="s">
        <v>11</v>
      </c>
      <c r="AM21" s="50" t="s">
        <v>11</v>
      </c>
      <c r="AN21" s="51">
        <f t="shared" si="1"/>
        <v>570.63</v>
      </c>
      <c r="AO21" s="52" t="s">
        <v>12</v>
      </c>
      <c r="AP21" s="53" t="s">
        <v>13</v>
      </c>
    </row>
    <row r="22" spans="1:42" x14ac:dyDescent="0.2">
      <c r="A22" s="48" t="s">
        <v>38</v>
      </c>
      <c r="B22" s="48" t="s">
        <v>39</v>
      </c>
      <c r="C22" s="39">
        <v>2</v>
      </c>
      <c r="D22" s="39">
        <v>2.5</v>
      </c>
      <c r="E22" s="39">
        <v>4</v>
      </c>
      <c r="F22" s="39">
        <v>5</v>
      </c>
      <c r="G22" s="39">
        <v>5</v>
      </c>
      <c r="H22" s="39">
        <v>6</v>
      </c>
      <c r="I22" s="49">
        <v>18.7</v>
      </c>
      <c r="J22" s="49">
        <v>0</v>
      </c>
      <c r="K22" s="49">
        <v>0</v>
      </c>
      <c r="L22" s="49">
        <v>0</v>
      </c>
      <c r="M22" s="49">
        <v>1.5</v>
      </c>
      <c r="N22" s="49">
        <v>783.14</v>
      </c>
      <c r="O22" s="49">
        <v>1963.9699999999998</v>
      </c>
      <c r="P22" s="49">
        <v>2126.52</v>
      </c>
      <c r="Q22" s="49">
        <v>1346.45</v>
      </c>
      <c r="R22" s="49">
        <v>1800.95</v>
      </c>
      <c r="S22" s="49">
        <v>1907.17</v>
      </c>
      <c r="T22" s="49">
        <v>854.21</v>
      </c>
      <c r="U22" s="49">
        <v>1112.48</v>
      </c>
      <c r="V22" s="49">
        <v>0</v>
      </c>
      <c r="W22" s="49">
        <v>0</v>
      </c>
      <c r="X22" s="49">
        <v>0</v>
      </c>
      <c r="Y22" s="49">
        <v>0</v>
      </c>
      <c r="Z22" s="49">
        <v>676</v>
      </c>
      <c r="AA22" s="49">
        <v>975</v>
      </c>
      <c r="AB22" s="49">
        <v>804</v>
      </c>
      <c r="AC22" s="49">
        <v>595</v>
      </c>
      <c r="AD22" s="49">
        <v>1863</v>
      </c>
      <c r="AE22" s="49">
        <v>2358</v>
      </c>
      <c r="AF22" s="49">
        <v>1851</v>
      </c>
      <c r="AG22" s="49">
        <v>2420</v>
      </c>
      <c r="AH22" s="49">
        <v>3176</v>
      </c>
      <c r="AI22" s="49">
        <v>2584</v>
      </c>
      <c r="AJ22" s="49">
        <v>2468</v>
      </c>
      <c r="AK22" s="49">
        <v>1946</v>
      </c>
      <c r="AL22" s="49">
        <v>566.69000000000005</v>
      </c>
      <c r="AM22" s="50" t="s">
        <v>11</v>
      </c>
      <c r="AN22" s="51">
        <f t="shared" si="1"/>
        <v>34222.28</v>
      </c>
      <c r="AO22" s="52" t="s">
        <v>12</v>
      </c>
      <c r="AP22" s="53" t="s">
        <v>13</v>
      </c>
    </row>
    <row r="23" spans="1:42" x14ac:dyDescent="0.2">
      <c r="A23" s="48" t="s">
        <v>40</v>
      </c>
      <c r="B23" s="48" t="s">
        <v>41</v>
      </c>
      <c r="C23" s="39">
        <v>2637.83</v>
      </c>
      <c r="D23" s="56">
        <v>3870.68</v>
      </c>
      <c r="E23" s="39">
        <v>0</v>
      </c>
      <c r="F23" s="39">
        <v>0</v>
      </c>
      <c r="G23" s="39">
        <v>0</v>
      </c>
      <c r="H23" s="3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50">
        <v>0</v>
      </c>
      <c r="AL23" s="49">
        <v>0</v>
      </c>
      <c r="AM23" s="49">
        <v>0</v>
      </c>
      <c r="AN23" s="51">
        <f t="shared" si="1"/>
        <v>6508.51</v>
      </c>
      <c r="AO23" s="52" t="s">
        <v>12</v>
      </c>
      <c r="AP23" s="53" t="s">
        <v>13</v>
      </c>
    </row>
    <row r="24" spans="1:42" x14ac:dyDescent="0.2">
      <c r="A24" s="48" t="s">
        <v>42</v>
      </c>
      <c r="B24" s="48" t="s">
        <v>43</v>
      </c>
      <c r="C24" s="39">
        <v>0</v>
      </c>
      <c r="D24" s="39">
        <v>5496.43</v>
      </c>
      <c r="E24" s="39">
        <v>0</v>
      </c>
      <c r="F24" s="39">
        <v>0</v>
      </c>
      <c r="G24" s="39">
        <v>0</v>
      </c>
      <c r="H24" s="39">
        <v>0</v>
      </c>
      <c r="I24" s="49">
        <v>0</v>
      </c>
      <c r="J24" s="49">
        <v>47.86</v>
      </c>
      <c r="K24" s="49">
        <v>0</v>
      </c>
      <c r="L24" s="49">
        <v>0</v>
      </c>
      <c r="M24" s="49">
        <v>0</v>
      </c>
      <c r="N24" s="49">
        <v>0</v>
      </c>
      <c r="O24" s="49">
        <v>4.99</v>
      </c>
      <c r="P24" s="49">
        <v>460.65</v>
      </c>
      <c r="Q24" s="49">
        <v>315.05</v>
      </c>
      <c r="R24" s="49">
        <v>578.65</v>
      </c>
      <c r="S24" s="49">
        <v>518.07000000000005</v>
      </c>
      <c r="T24" s="49">
        <v>525.21</v>
      </c>
      <c r="U24" s="49">
        <v>0</v>
      </c>
      <c r="V24" s="49">
        <v>0</v>
      </c>
      <c r="W24" s="49">
        <v>0</v>
      </c>
      <c r="X24" s="49">
        <v>0</v>
      </c>
      <c r="Y24" s="49">
        <v>1707.86</v>
      </c>
      <c r="Z24" s="49">
        <v>2166</v>
      </c>
      <c r="AA24" s="49">
        <v>1900</v>
      </c>
      <c r="AB24" s="49">
        <v>1992</v>
      </c>
      <c r="AC24" s="49">
        <v>1267</v>
      </c>
      <c r="AD24" s="49">
        <v>2377</v>
      </c>
      <c r="AE24" s="49">
        <v>2440</v>
      </c>
      <c r="AF24" s="49">
        <v>2972</v>
      </c>
      <c r="AG24" s="49">
        <v>4613</v>
      </c>
      <c r="AH24" s="49">
        <v>4929</v>
      </c>
      <c r="AI24" s="49">
        <v>4819</v>
      </c>
      <c r="AJ24" s="49">
        <v>4654</v>
      </c>
      <c r="AK24" s="49">
        <v>3795</v>
      </c>
      <c r="AL24" s="49">
        <v>1706.99</v>
      </c>
      <c r="AM24" s="50" t="s">
        <v>11</v>
      </c>
      <c r="AN24" s="51">
        <f t="shared" si="1"/>
        <v>49285.759999999995</v>
      </c>
      <c r="AO24" s="52" t="s">
        <v>44</v>
      </c>
      <c r="AP24" s="53" t="s">
        <v>45</v>
      </c>
    </row>
    <row r="25" spans="1:42" x14ac:dyDescent="0.2">
      <c r="A25" s="37" t="s">
        <v>46</v>
      </c>
      <c r="B25" s="37" t="s">
        <v>47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3">
        <v>0</v>
      </c>
      <c r="AN25" s="44">
        <f t="shared" si="1"/>
        <v>0</v>
      </c>
      <c r="AO25" s="45" t="s">
        <v>44</v>
      </c>
      <c r="AP25" s="46" t="s">
        <v>45</v>
      </c>
    </row>
    <row r="26" spans="1:42" x14ac:dyDescent="0.2">
      <c r="A26" s="37" t="s">
        <v>48</v>
      </c>
      <c r="B26" s="37" t="s">
        <v>49</v>
      </c>
      <c r="C26" s="38">
        <v>0</v>
      </c>
      <c r="D26" s="55">
        <v>0</v>
      </c>
      <c r="E26" s="55">
        <v>0</v>
      </c>
      <c r="F26" s="38">
        <v>0</v>
      </c>
      <c r="G26" s="38">
        <v>0</v>
      </c>
      <c r="H26" s="38">
        <v>1503.9699999999998</v>
      </c>
      <c r="I26" s="42">
        <v>2170.36</v>
      </c>
      <c r="J26" s="42">
        <v>1770.03</v>
      </c>
      <c r="K26" s="42">
        <v>790.61</v>
      </c>
      <c r="L26" s="42">
        <f>333.61+136.08</f>
        <v>469.69000000000005</v>
      </c>
      <c r="M26" s="42">
        <v>179.47</v>
      </c>
      <c r="N26" s="42">
        <v>0</v>
      </c>
      <c r="O26" s="42">
        <v>2579.0200000000004</v>
      </c>
      <c r="P26" s="42">
        <f>859+1555.23</f>
        <v>2414.23</v>
      </c>
      <c r="Q26" s="42">
        <v>1634.48</v>
      </c>
      <c r="R26" s="42">
        <v>594.36</v>
      </c>
      <c r="S26" s="42">
        <v>507.52</v>
      </c>
      <c r="T26" s="42">
        <v>333.47</v>
      </c>
      <c r="U26" s="42">
        <v>0</v>
      </c>
      <c r="V26" s="42">
        <v>0</v>
      </c>
      <c r="W26" s="42">
        <f>-(367+81)</f>
        <v>-448</v>
      </c>
      <c r="X26" s="42">
        <v>-1799</v>
      </c>
      <c r="Y26" s="42">
        <v>0</v>
      </c>
      <c r="Z26" s="42">
        <v>0</v>
      </c>
      <c r="AA26" s="42">
        <v>229</v>
      </c>
      <c r="AB26" s="42">
        <v>0</v>
      </c>
      <c r="AC26" s="42">
        <v>50</v>
      </c>
      <c r="AD26" s="42">
        <v>600</v>
      </c>
      <c r="AE26" s="42">
        <v>651</v>
      </c>
      <c r="AF26" s="42">
        <v>994</v>
      </c>
      <c r="AG26" s="42">
        <v>1418</v>
      </c>
      <c r="AH26" s="42">
        <v>2083</v>
      </c>
      <c r="AI26" s="42">
        <v>1472</v>
      </c>
      <c r="AJ26" s="42">
        <v>1595</v>
      </c>
      <c r="AK26" s="42">
        <v>1506</v>
      </c>
      <c r="AL26" s="42">
        <v>490.12</v>
      </c>
      <c r="AM26" s="43" t="s">
        <v>11</v>
      </c>
      <c r="AN26" s="44">
        <f t="shared" si="1"/>
        <v>23788.329999999998</v>
      </c>
      <c r="AO26" s="45" t="s">
        <v>44</v>
      </c>
      <c r="AP26" s="46" t="s">
        <v>45</v>
      </c>
    </row>
    <row r="27" spans="1:42" x14ac:dyDescent="0.2">
      <c r="A27" s="37" t="s">
        <v>46</v>
      </c>
      <c r="B27" s="37" t="s">
        <v>50</v>
      </c>
      <c r="C27" s="38">
        <v>0</v>
      </c>
      <c r="D27" s="38">
        <v>4730.8900000000003</v>
      </c>
      <c r="E27" s="38">
        <v>598.13</v>
      </c>
      <c r="F27" s="38">
        <v>0</v>
      </c>
      <c r="G27" s="38">
        <v>0</v>
      </c>
      <c r="H27" s="38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3">
        <v>0</v>
      </c>
      <c r="AN27" s="44">
        <f t="shared" si="1"/>
        <v>5329.02</v>
      </c>
      <c r="AO27" s="45" t="s">
        <v>44</v>
      </c>
      <c r="AP27" s="46" t="s">
        <v>45</v>
      </c>
    </row>
    <row r="28" spans="1:42" x14ac:dyDescent="0.2">
      <c r="A28" s="37" t="s">
        <v>51</v>
      </c>
      <c r="B28" s="37" t="s">
        <v>52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1">
        <v>1256.75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3">
        <v>0</v>
      </c>
      <c r="AN28" s="44">
        <f t="shared" si="1"/>
        <v>1256.75</v>
      </c>
      <c r="AO28" s="45" t="s">
        <v>44</v>
      </c>
      <c r="AP28" s="46" t="s">
        <v>45</v>
      </c>
    </row>
    <row r="29" spans="1:42" x14ac:dyDescent="0.2">
      <c r="A29" s="37" t="s">
        <v>53</v>
      </c>
      <c r="B29" s="37" t="s">
        <v>54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1">
        <v>1002.0199999999999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3">
        <v>0</v>
      </c>
      <c r="AN29" s="44">
        <f t="shared" si="1"/>
        <v>1002.0199999999999</v>
      </c>
      <c r="AO29" s="45" t="s">
        <v>44</v>
      </c>
      <c r="AP29" s="46" t="s">
        <v>45</v>
      </c>
    </row>
    <row r="30" spans="1:42" x14ac:dyDescent="0.2">
      <c r="A30" s="48" t="s">
        <v>55</v>
      </c>
      <c r="B30" s="48" t="s">
        <v>56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54">
        <v>14.79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50">
        <v>0</v>
      </c>
      <c r="AN30" s="51">
        <f t="shared" si="1"/>
        <v>14.79</v>
      </c>
      <c r="AO30" s="52" t="s">
        <v>44</v>
      </c>
      <c r="AP30" s="53" t="s">
        <v>45</v>
      </c>
    </row>
    <row r="31" spans="1:42" x14ac:dyDescent="0.2">
      <c r="A31" s="48" t="s">
        <v>46</v>
      </c>
      <c r="B31" s="48" t="s">
        <v>57</v>
      </c>
      <c r="C31" s="39">
        <v>1.01</v>
      </c>
      <c r="D31" s="56">
        <v>2609.04</v>
      </c>
      <c r="E31" s="39">
        <v>0</v>
      </c>
      <c r="F31" s="39">
        <v>0</v>
      </c>
      <c r="G31" s="39">
        <v>0</v>
      </c>
      <c r="H31" s="3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0</v>
      </c>
      <c r="AI31" s="49">
        <v>0</v>
      </c>
      <c r="AJ31" s="49">
        <v>0</v>
      </c>
      <c r="AK31" s="50">
        <v>0</v>
      </c>
      <c r="AL31" s="49">
        <v>0</v>
      </c>
      <c r="AM31" s="49">
        <v>0</v>
      </c>
      <c r="AN31" s="51">
        <f t="shared" si="1"/>
        <v>2610.0500000000002</v>
      </c>
      <c r="AO31" s="52" t="s">
        <v>44</v>
      </c>
      <c r="AP31" s="53" t="s">
        <v>45</v>
      </c>
    </row>
    <row r="32" spans="1:42" x14ac:dyDescent="0.2">
      <c r="A32" s="48" t="s">
        <v>58</v>
      </c>
      <c r="B32" s="48" t="s">
        <v>59</v>
      </c>
      <c r="C32" s="57">
        <v>0</v>
      </c>
      <c r="D32" s="57">
        <v>0</v>
      </c>
      <c r="E32" s="57">
        <v>0</v>
      </c>
      <c r="F32" s="39">
        <v>0</v>
      </c>
      <c r="G32" s="39">
        <v>0.5</v>
      </c>
      <c r="H32" s="39">
        <v>0.5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1117.1300000000001</v>
      </c>
      <c r="Q32" s="49">
        <v>230.58</v>
      </c>
      <c r="R32" s="49">
        <v>458.35</v>
      </c>
      <c r="S32" s="49">
        <v>392.35</v>
      </c>
      <c r="T32" s="49">
        <v>343.93</v>
      </c>
      <c r="U32" s="49">
        <v>0</v>
      </c>
      <c r="V32" s="49">
        <v>0</v>
      </c>
      <c r="W32" s="49">
        <v>0</v>
      </c>
      <c r="X32" s="58">
        <v>0</v>
      </c>
      <c r="Y32" s="49">
        <v>391.08</v>
      </c>
      <c r="Z32" s="49">
        <v>634</v>
      </c>
      <c r="AA32" s="49">
        <v>0</v>
      </c>
      <c r="AB32" s="49">
        <v>890</v>
      </c>
      <c r="AC32" s="49">
        <v>546</v>
      </c>
      <c r="AD32" s="49">
        <v>959</v>
      </c>
      <c r="AE32" s="49">
        <v>533</v>
      </c>
      <c r="AF32" s="50" t="s">
        <v>11</v>
      </c>
      <c r="AG32" s="50" t="s">
        <v>11</v>
      </c>
      <c r="AH32" s="50" t="s">
        <v>11</v>
      </c>
      <c r="AI32" s="50" t="s">
        <v>11</v>
      </c>
      <c r="AJ32" s="50" t="s">
        <v>11</v>
      </c>
      <c r="AK32" s="50" t="s">
        <v>11</v>
      </c>
      <c r="AL32" s="50" t="s">
        <v>11</v>
      </c>
      <c r="AM32" s="50" t="s">
        <v>11</v>
      </c>
      <c r="AN32" s="51">
        <f t="shared" si="1"/>
        <v>6496.42</v>
      </c>
      <c r="AO32" s="52" t="s">
        <v>44</v>
      </c>
      <c r="AP32" s="53" t="s">
        <v>45</v>
      </c>
    </row>
    <row r="33" spans="1:42" x14ac:dyDescent="0.2">
      <c r="A33" s="48" t="s">
        <v>46</v>
      </c>
      <c r="B33" s="48" t="s">
        <v>60</v>
      </c>
      <c r="C33" s="39">
        <v>1.5</v>
      </c>
      <c r="D33" s="39">
        <v>2593.4699999999998</v>
      </c>
      <c r="E33" s="39">
        <v>0.5</v>
      </c>
      <c r="F33" s="39">
        <v>0</v>
      </c>
      <c r="G33" s="39">
        <v>0</v>
      </c>
      <c r="H33" s="3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58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1">
        <f t="shared" si="1"/>
        <v>2595.4699999999998</v>
      </c>
      <c r="AO33" s="52" t="s">
        <v>44</v>
      </c>
      <c r="AP33" s="53" t="s">
        <v>45</v>
      </c>
    </row>
    <row r="34" spans="1:42" x14ac:dyDescent="0.2">
      <c r="A34" s="48" t="s">
        <v>61</v>
      </c>
      <c r="B34" s="48" t="s">
        <v>62</v>
      </c>
      <c r="C34" s="39">
        <v>1.5</v>
      </c>
      <c r="D34" s="39">
        <v>3</v>
      </c>
      <c r="E34" s="39">
        <v>3</v>
      </c>
      <c r="F34" s="39">
        <v>2</v>
      </c>
      <c r="G34" s="39">
        <v>2</v>
      </c>
      <c r="H34" s="39">
        <v>6</v>
      </c>
      <c r="I34" s="49">
        <v>2</v>
      </c>
      <c r="J34" s="49">
        <v>4.5</v>
      </c>
      <c r="K34" s="49">
        <v>5.0599999999999996</v>
      </c>
      <c r="L34" s="49">
        <f>2.63+600.44</f>
        <v>603.07000000000005</v>
      </c>
      <c r="M34" s="49">
        <f>4.07+1002.38</f>
        <v>1006.45</v>
      </c>
      <c r="N34" s="54">
        <v>5.47</v>
      </c>
      <c r="O34" s="49">
        <v>7.18</v>
      </c>
      <c r="P34" s="49">
        <f>4.73+593.05</f>
        <v>597.78</v>
      </c>
      <c r="Q34" s="49">
        <f>560.51+1</f>
        <v>561.51</v>
      </c>
      <c r="R34" s="49">
        <f>412.19+2.76</f>
        <v>414.95</v>
      </c>
      <c r="S34" s="49">
        <v>669.63</v>
      </c>
      <c r="T34" s="49">
        <f>50.23+6.72</f>
        <v>56.949999999999996</v>
      </c>
      <c r="U34" s="49">
        <v>9.11</v>
      </c>
      <c r="V34" s="49">
        <v>7.37</v>
      </c>
      <c r="W34" s="49">
        <v>1.5</v>
      </c>
      <c r="X34" s="49">
        <v>0</v>
      </c>
      <c r="Y34" s="49">
        <v>10.75</v>
      </c>
      <c r="Z34" s="49">
        <v>10.68</v>
      </c>
      <c r="AA34" s="49">
        <v>11.95</v>
      </c>
      <c r="AB34" s="49">
        <v>12</v>
      </c>
      <c r="AC34" s="49">
        <v>10</v>
      </c>
      <c r="AD34" s="49">
        <v>339</v>
      </c>
      <c r="AE34" s="49">
        <v>381</v>
      </c>
      <c r="AF34" s="49">
        <v>748</v>
      </c>
      <c r="AG34" s="49">
        <v>1213</v>
      </c>
      <c r="AH34" s="49">
        <v>1468</v>
      </c>
      <c r="AI34" s="49">
        <v>1393</v>
      </c>
      <c r="AJ34" s="49">
        <v>1435</v>
      </c>
      <c r="AK34" s="49">
        <v>1291</v>
      </c>
      <c r="AL34" s="49">
        <v>1187.8900000000001</v>
      </c>
      <c r="AM34" s="50" t="s">
        <v>11</v>
      </c>
      <c r="AN34" s="51">
        <f t="shared" si="1"/>
        <v>13481.3</v>
      </c>
      <c r="AO34" s="52" t="s">
        <v>44</v>
      </c>
      <c r="AP34" s="53" t="s">
        <v>45</v>
      </c>
    </row>
    <row r="35" spans="1:42" x14ac:dyDescent="0.2">
      <c r="A35" s="37" t="s">
        <v>63</v>
      </c>
      <c r="B35" s="37" t="s">
        <v>64</v>
      </c>
      <c r="C35" s="38">
        <v>581.53</v>
      </c>
      <c r="D35" s="38">
        <v>745.21</v>
      </c>
      <c r="E35" s="38">
        <v>146.76</v>
      </c>
      <c r="F35" s="38">
        <v>290.45</v>
      </c>
      <c r="G35" s="38">
        <v>802.93000000000006</v>
      </c>
      <c r="H35" s="38">
        <v>824.68999999999983</v>
      </c>
      <c r="I35" s="42">
        <v>805.95</v>
      </c>
      <c r="J35" s="42">
        <v>608.58000000000004</v>
      </c>
      <c r="K35" s="42">
        <v>622.54</v>
      </c>
      <c r="L35" s="43">
        <v>600.43999999999994</v>
      </c>
      <c r="M35" s="43">
        <v>1002.38</v>
      </c>
      <c r="N35" s="43">
        <v>463.12</v>
      </c>
      <c r="O35" s="43">
        <v>771.80000000000007</v>
      </c>
      <c r="P35" s="43" t="s">
        <v>11</v>
      </c>
      <c r="Q35" s="43" t="s">
        <v>11</v>
      </c>
      <c r="R35" s="43" t="s">
        <v>11</v>
      </c>
      <c r="S35" s="43" t="s">
        <v>11</v>
      </c>
      <c r="T35" s="43" t="s">
        <v>11</v>
      </c>
      <c r="U35" s="43" t="s">
        <v>11</v>
      </c>
      <c r="V35" s="43" t="s">
        <v>11</v>
      </c>
      <c r="W35" s="43" t="s">
        <v>11</v>
      </c>
      <c r="X35" s="43" t="s">
        <v>11</v>
      </c>
      <c r="Y35" s="43" t="s">
        <v>11</v>
      </c>
      <c r="Z35" s="43" t="s">
        <v>11</v>
      </c>
      <c r="AA35" s="43" t="s">
        <v>11</v>
      </c>
      <c r="AB35" s="43" t="s">
        <v>11</v>
      </c>
      <c r="AC35" s="43" t="s">
        <v>11</v>
      </c>
      <c r="AD35" s="43" t="s">
        <v>11</v>
      </c>
      <c r="AE35" s="43" t="s">
        <v>11</v>
      </c>
      <c r="AF35" s="43" t="s">
        <v>11</v>
      </c>
      <c r="AG35" s="43" t="s">
        <v>11</v>
      </c>
      <c r="AH35" s="43" t="s">
        <v>11</v>
      </c>
      <c r="AI35" s="43" t="s">
        <v>11</v>
      </c>
      <c r="AJ35" s="43" t="s">
        <v>11</v>
      </c>
      <c r="AK35" s="43" t="s">
        <v>11</v>
      </c>
      <c r="AL35" s="43" t="s">
        <v>11</v>
      </c>
      <c r="AM35" s="43" t="s">
        <v>11</v>
      </c>
      <c r="AN35" s="44">
        <f t="shared" si="1"/>
        <v>8266.3799999999992</v>
      </c>
      <c r="AO35" s="45" t="s">
        <v>44</v>
      </c>
      <c r="AP35" s="46" t="s">
        <v>45</v>
      </c>
    </row>
    <row r="36" spans="1:42" x14ac:dyDescent="0.2">
      <c r="A36" s="37" t="s">
        <v>65</v>
      </c>
      <c r="B36" s="37" t="s">
        <v>66</v>
      </c>
      <c r="C36" s="38">
        <v>917.12</v>
      </c>
      <c r="D36" s="38">
        <v>762.39</v>
      </c>
      <c r="E36" s="38">
        <v>529.65</v>
      </c>
      <c r="F36" s="38">
        <v>64.73</v>
      </c>
      <c r="G36" s="38">
        <v>796.71</v>
      </c>
      <c r="H36" s="38">
        <v>829.11</v>
      </c>
      <c r="I36" s="42">
        <v>1106.6199999999999</v>
      </c>
      <c r="J36" s="42">
        <v>631.39</v>
      </c>
      <c r="K36" s="42">
        <v>995.34</v>
      </c>
      <c r="L36" s="42">
        <v>759.02</v>
      </c>
      <c r="M36" s="42">
        <v>1107.56</v>
      </c>
      <c r="N36" s="42">
        <v>1089.8800000000001</v>
      </c>
      <c r="O36" s="42">
        <v>1081.26</v>
      </c>
      <c r="P36" s="42">
        <v>592.63</v>
      </c>
      <c r="Q36" s="42">
        <v>308.17</v>
      </c>
      <c r="R36" s="42">
        <v>274.33999999999997</v>
      </c>
      <c r="S36" s="42">
        <v>883.2</v>
      </c>
      <c r="T36" s="42">
        <v>89.67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0.5</v>
      </c>
      <c r="AB36" s="42">
        <v>1</v>
      </c>
      <c r="AC36" s="42">
        <v>208.93</v>
      </c>
      <c r="AD36" s="42">
        <v>413.34</v>
      </c>
      <c r="AE36" s="42">
        <v>317.77999999999997</v>
      </c>
      <c r="AF36" s="42">
        <v>595.37</v>
      </c>
      <c r="AG36" s="42">
        <v>596.19000000000005</v>
      </c>
      <c r="AH36" s="42">
        <v>659.59</v>
      </c>
      <c r="AI36" s="42">
        <v>620.09</v>
      </c>
      <c r="AJ36" s="42">
        <v>328.33</v>
      </c>
      <c r="AK36" s="43" t="s">
        <v>11</v>
      </c>
      <c r="AL36" s="43" t="s">
        <v>11</v>
      </c>
      <c r="AM36" s="43" t="s">
        <v>11</v>
      </c>
      <c r="AN36" s="44">
        <f t="shared" si="1"/>
        <v>16559.910000000003</v>
      </c>
      <c r="AO36" s="45" t="s">
        <v>44</v>
      </c>
      <c r="AP36" s="46" t="s">
        <v>45</v>
      </c>
    </row>
    <row r="37" spans="1:42" x14ac:dyDescent="0.2">
      <c r="A37" s="37" t="s">
        <v>67</v>
      </c>
      <c r="B37" s="37" t="s">
        <v>68</v>
      </c>
      <c r="C37" s="38">
        <v>650.36</v>
      </c>
      <c r="D37" s="38">
        <v>819.02</v>
      </c>
      <c r="E37" s="38">
        <v>61.76</v>
      </c>
      <c r="F37" s="38">
        <v>156.12000000000003</v>
      </c>
      <c r="G37" s="38">
        <v>120.15000000000002</v>
      </c>
      <c r="H37" s="38">
        <v>1867.4019999999996</v>
      </c>
      <c r="I37" s="42">
        <v>853.39</v>
      </c>
      <c r="J37" s="42">
        <v>382.01</v>
      </c>
      <c r="K37" s="42">
        <v>4</v>
      </c>
      <c r="L37" s="42">
        <v>3.5</v>
      </c>
      <c r="M37" s="42">
        <v>31.18</v>
      </c>
      <c r="N37" s="42">
        <v>367.13</v>
      </c>
      <c r="O37" s="42">
        <v>2.4699999999999998</v>
      </c>
      <c r="P37" s="42">
        <v>38.869999999999997</v>
      </c>
      <c r="Q37" s="42">
        <v>357.35</v>
      </c>
      <c r="R37" s="42">
        <v>512.35</v>
      </c>
      <c r="S37" s="42">
        <v>519.32000000000005</v>
      </c>
      <c r="T37" s="42">
        <v>882.43</v>
      </c>
      <c r="U37" s="42">
        <v>0</v>
      </c>
      <c r="V37" s="42">
        <v>0</v>
      </c>
      <c r="W37" s="42">
        <f>-90</f>
        <v>-90</v>
      </c>
      <c r="X37" s="42">
        <v>-896</v>
      </c>
      <c r="Y37" s="42">
        <v>0</v>
      </c>
      <c r="Z37" s="42">
        <v>0</v>
      </c>
      <c r="AA37" s="42">
        <v>0.5</v>
      </c>
      <c r="AB37" s="42">
        <v>1</v>
      </c>
      <c r="AC37" s="42">
        <v>398</v>
      </c>
      <c r="AD37" s="42">
        <v>662</v>
      </c>
      <c r="AE37" s="42">
        <v>689</v>
      </c>
      <c r="AF37" s="42">
        <v>630</v>
      </c>
      <c r="AG37" s="42">
        <v>974</v>
      </c>
      <c r="AH37" s="42">
        <v>1193</v>
      </c>
      <c r="AI37" s="42">
        <v>962.42</v>
      </c>
      <c r="AJ37" s="42">
        <v>1306</v>
      </c>
      <c r="AK37" s="42">
        <v>1328</v>
      </c>
      <c r="AL37" s="42">
        <v>192.47</v>
      </c>
      <c r="AM37" s="43" t="s">
        <v>11</v>
      </c>
      <c r="AN37" s="44">
        <f t="shared" si="1"/>
        <v>14979.202000000001</v>
      </c>
      <c r="AO37" s="45" t="s">
        <v>44</v>
      </c>
      <c r="AP37" s="46" t="s">
        <v>45</v>
      </c>
    </row>
    <row r="38" spans="1:42" x14ac:dyDescent="0.2">
      <c r="A38" s="37" t="s">
        <v>69</v>
      </c>
      <c r="B38" s="37" t="s">
        <v>70</v>
      </c>
      <c r="C38" s="38">
        <v>0</v>
      </c>
      <c r="D38" s="38">
        <v>0.5</v>
      </c>
      <c r="E38" s="38">
        <v>0</v>
      </c>
      <c r="F38" s="38">
        <v>0</v>
      </c>
      <c r="G38" s="38">
        <v>0.5</v>
      </c>
      <c r="H38" s="38">
        <v>595.06000000000006</v>
      </c>
      <c r="I38" s="42">
        <v>34.44</v>
      </c>
      <c r="J38" s="42">
        <v>1.5</v>
      </c>
      <c r="K38" s="42">
        <v>454.89</v>
      </c>
      <c r="L38" s="42">
        <v>108.37</v>
      </c>
      <c r="M38" s="42">
        <v>981.77</v>
      </c>
      <c r="N38" s="42">
        <v>794.85</v>
      </c>
      <c r="O38" s="42">
        <v>789.8</v>
      </c>
      <c r="P38" s="42">
        <f>519.59+324.67</f>
        <v>844.26</v>
      </c>
      <c r="Q38" s="42">
        <f>322.18+346.61</f>
        <v>668.79</v>
      </c>
      <c r="R38" s="42">
        <f>345.03+509.54</f>
        <v>854.56999999999994</v>
      </c>
      <c r="S38" s="42">
        <v>221.14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0.71</v>
      </c>
      <c r="AG38" s="42">
        <v>1</v>
      </c>
      <c r="AH38" s="42">
        <f>1.24+834.08</f>
        <v>835.32</v>
      </c>
      <c r="AI38" s="42">
        <v>354</v>
      </c>
      <c r="AJ38" s="42">
        <v>859</v>
      </c>
      <c r="AK38" s="42">
        <v>45</v>
      </c>
      <c r="AL38" s="42">
        <v>1</v>
      </c>
      <c r="AM38" s="43" t="s">
        <v>11</v>
      </c>
      <c r="AN38" s="44">
        <f t="shared" si="1"/>
        <v>8446.4699999999993</v>
      </c>
      <c r="AO38" s="45" t="s">
        <v>44</v>
      </c>
      <c r="AP38" s="46" t="s">
        <v>45</v>
      </c>
    </row>
    <row r="39" spans="1:42" x14ac:dyDescent="0.2">
      <c r="A39" s="37" t="s">
        <v>71</v>
      </c>
      <c r="B39" s="37" t="s">
        <v>72</v>
      </c>
      <c r="C39" s="59">
        <v>0</v>
      </c>
      <c r="D39" s="59">
        <v>0</v>
      </c>
      <c r="E39" s="59">
        <v>0</v>
      </c>
      <c r="F39" s="59">
        <v>0</v>
      </c>
      <c r="G39" s="38">
        <v>0</v>
      </c>
      <c r="H39" s="38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636.99</v>
      </c>
      <c r="AA39" s="42">
        <v>641.36</v>
      </c>
      <c r="AB39" s="42">
        <v>633.62</v>
      </c>
      <c r="AC39" s="42">
        <v>584.04</v>
      </c>
      <c r="AD39" s="42">
        <v>746.14</v>
      </c>
      <c r="AE39" s="42">
        <v>805.95</v>
      </c>
      <c r="AF39" s="42">
        <v>0</v>
      </c>
      <c r="AG39" s="42">
        <v>0</v>
      </c>
      <c r="AH39" s="42">
        <v>1838.25</v>
      </c>
      <c r="AI39" s="42">
        <v>1768.23</v>
      </c>
      <c r="AJ39" s="42">
        <v>1136.03</v>
      </c>
      <c r="AK39" s="42">
        <f>1655.96-1010</f>
        <v>645.96</v>
      </c>
      <c r="AL39" s="42">
        <v>606.08000000000004</v>
      </c>
      <c r="AM39" s="43" t="s">
        <v>11</v>
      </c>
      <c r="AN39" s="44">
        <f t="shared" si="1"/>
        <v>10042.65</v>
      </c>
      <c r="AO39" s="45" t="s">
        <v>12</v>
      </c>
      <c r="AP39" s="46" t="s">
        <v>45</v>
      </c>
    </row>
    <row r="40" spans="1:42" x14ac:dyDescent="0.2">
      <c r="A40" s="48" t="s">
        <v>73</v>
      </c>
      <c r="B40" s="48" t="s">
        <v>74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49">
        <v>0</v>
      </c>
      <c r="J40" s="49">
        <v>0</v>
      </c>
      <c r="K40" s="49">
        <v>625.88</v>
      </c>
      <c r="L40" s="49">
        <v>867.48</v>
      </c>
      <c r="M40" s="49">
        <f>659.86+182.18</f>
        <v>842.04</v>
      </c>
      <c r="N40" s="54">
        <v>745.22</v>
      </c>
      <c r="O40" s="49">
        <v>708.39</v>
      </c>
      <c r="P40" s="49">
        <v>634.74</v>
      </c>
      <c r="Q40" s="49">
        <v>207.76</v>
      </c>
      <c r="R40" s="49">
        <v>805.26</v>
      </c>
      <c r="S40" s="49">
        <v>181.64</v>
      </c>
      <c r="T40" s="49">
        <v>447.27</v>
      </c>
      <c r="U40" s="49">
        <v>203.95</v>
      </c>
      <c r="V40" s="49">
        <v>233.86</v>
      </c>
      <c r="W40" s="49">
        <v>116.9</v>
      </c>
      <c r="X40" s="49">
        <v>0</v>
      </c>
      <c r="Y40" s="49">
        <v>898.53</v>
      </c>
      <c r="Z40" s="49">
        <v>766.97</v>
      </c>
      <c r="AA40" s="49">
        <v>595</v>
      </c>
      <c r="AB40" s="49">
        <v>657</v>
      </c>
      <c r="AC40" s="49">
        <v>276</v>
      </c>
      <c r="AD40" s="49">
        <v>505.46</v>
      </c>
      <c r="AE40" s="49">
        <v>478</v>
      </c>
      <c r="AF40" s="49">
        <v>1535</v>
      </c>
      <c r="AG40" s="49">
        <f>934+822.99</f>
        <v>1756.99</v>
      </c>
      <c r="AH40" s="49">
        <v>1122</v>
      </c>
      <c r="AI40" s="49">
        <v>1084</v>
      </c>
      <c r="AJ40" s="49">
        <v>701</v>
      </c>
      <c r="AK40" s="49">
        <v>1010</v>
      </c>
      <c r="AL40" s="50" t="s">
        <v>11</v>
      </c>
      <c r="AM40" s="50" t="s">
        <v>11</v>
      </c>
      <c r="AN40" s="51">
        <f t="shared" si="1"/>
        <v>18006.339999999997</v>
      </c>
      <c r="AO40" s="52" t="s">
        <v>12</v>
      </c>
      <c r="AP40" s="53" t="s">
        <v>45</v>
      </c>
    </row>
    <row r="41" spans="1:42" x14ac:dyDescent="0.2">
      <c r="A41" s="48" t="s">
        <v>31</v>
      </c>
      <c r="B41" s="48" t="s">
        <v>75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50" t="s">
        <v>11</v>
      </c>
      <c r="I41" s="60" t="s">
        <v>11</v>
      </c>
      <c r="J41" s="60" t="s">
        <v>11</v>
      </c>
      <c r="K41" s="60" t="s">
        <v>11</v>
      </c>
      <c r="L41" s="60" t="s">
        <v>11</v>
      </c>
      <c r="M41" s="60" t="s">
        <v>11</v>
      </c>
      <c r="N41" s="54">
        <v>83.45</v>
      </c>
      <c r="O41" s="60">
        <v>0</v>
      </c>
      <c r="P41" s="60" t="s">
        <v>11</v>
      </c>
      <c r="Q41" s="60" t="s">
        <v>11</v>
      </c>
      <c r="R41" s="60" t="s">
        <v>11</v>
      </c>
      <c r="S41" s="60" t="s">
        <v>11</v>
      </c>
      <c r="T41" s="60" t="s">
        <v>11</v>
      </c>
      <c r="U41" s="60" t="s">
        <v>11</v>
      </c>
      <c r="V41" s="60" t="s">
        <v>11</v>
      </c>
      <c r="W41" s="60" t="s">
        <v>11</v>
      </c>
      <c r="X41" s="60" t="s">
        <v>11</v>
      </c>
      <c r="Y41" s="60" t="s">
        <v>11</v>
      </c>
      <c r="Z41" s="60" t="s">
        <v>11</v>
      </c>
      <c r="AA41" s="60" t="s">
        <v>11</v>
      </c>
      <c r="AB41" s="60" t="s">
        <v>11</v>
      </c>
      <c r="AC41" s="60" t="s">
        <v>11</v>
      </c>
      <c r="AD41" s="60" t="s">
        <v>11</v>
      </c>
      <c r="AE41" s="60" t="s">
        <v>11</v>
      </c>
      <c r="AF41" s="60" t="s">
        <v>11</v>
      </c>
      <c r="AG41" s="60" t="s">
        <v>11</v>
      </c>
      <c r="AH41" s="60" t="s">
        <v>11</v>
      </c>
      <c r="AI41" s="60" t="s">
        <v>11</v>
      </c>
      <c r="AJ41" s="60" t="s">
        <v>11</v>
      </c>
      <c r="AK41" s="60" t="s">
        <v>11</v>
      </c>
      <c r="AL41" s="60" t="s">
        <v>11</v>
      </c>
      <c r="AM41" s="60" t="s">
        <v>11</v>
      </c>
      <c r="AN41" s="51">
        <f t="shared" si="1"/>
        <v>83.45</v>
      </c>
      <c r="AO41" s="52" t="s">
        <v>44</v>
      </c>
      <c r="AP41" s="53" t="s">
        <v>45</v>
      </c>
    </row>
    <row r="42" spans="1:42" x14ac:dyDescent="0.2">
      <c r="A42" s="47" t="s">
        <v>76</v>
      </c>
      <c r="B42" s="48" t="s">
        <v>77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49">
        <v>411.62</v>
      </c>
      <c r="J42" s="49">
        <v>0</v>
      </c>
      <c r="K42" s="49">
        <v>70.12</v>
      </c>
      <c r="L42" s="49">
        <f>899.33+6.48</f>
        <v>905.81000000000006</v>
      </c>
      <c r="M42" s="49">
        <v>549.91999999999996</v>
      </c>
      <c r="N42" s="54">
        <v>330.18</v>
      </c>
      <c r="O42" s="49">
        <v>591.54999999999995</v>
      </c>
      <c r="P42" s="49">
        <v>706.01</v>
      </c>
      <c r="Q42" s="49">
        <v>812.56</v>
      </c>
      <c r="R42" s="49">
        <v>1635.18</v>
      </c>
      <c r="S42" s="49">
        <v>949.81</v>
      </c>
      <c r="T42" s="49">
        <v>850.89</v>
      </c>
      <c r="U42" s="49">
        <v>825.51</v>
      </c>
      <c r="V42" s="49">
        <v>481.92</v>
      </c>
      <c r="W42" s="49">
        <v>46.11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1281</v>
      </c>
      <c r="AG42" s="49">
        <v>1316</v>
      </c>
      <c r="AH42" s="49">
        <v>1481</v>
      </c>
      <c r="AI42" s="49">
        <v>1933</v>
      </c>
      <c r="AJ42" s="49">
        <v>1698</v>
      </c>
      <c r="AK42" s="49">
        <v>1304</v>
      </c>
      <c r="AL42" s="50" t="s">
        <v>11</v>
      </c>
      <c r="AM42" s="50" t="s">
        <v>11</v>
      </c>
      <c r="AN42" s="51">
        <f t="shared" si="1"/>
        <v>18180.190000000002</v>
      </c>
      <c r="AO42" s="52" t="s">
        <v>12</v>
      </c>
      <c r="AP42" s="53" t="s">
        <v>45</v>
      </c>
    </row>
    <row r="43" spans="1:42" x14ac:dyDescent="0.2">
      <c r="A43" s="48" t="s">
        <v>78</v>
      </c>
      <c r="B43" s="48" t="s">
        <v>79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50" t="s">
        <v>11</v>
      </c>
      <c r="I43" s="50" t="s">
        <v>11</v>
      </c>
      <c r="J43" s="50" t="s">
        <v>11</v>
      </c>
      <c r="K43" s="50" t="s">
        <v>11</v>
      </c>
      <c r="L43" s="50" t="s">
        <v>11</v>
      </c>
      <c r="M43" s="50" t="s">
        <v>11</v>
      </c>
      <c r="N43" s="54">
        <v>642.06000000000006</v>
      </c>
      <c r="O43" s="50">
        <v>655.24</v>
      </c>
      <c r="P43" s="50" t="s">
        <v>11</v>
      </c>
      <c r="Q43" s="50" t="s">
        <v>11</v>
      </c>
      <c r="R43" s="50" t="s">
        <v>11</v>
      </c>
      <c r="S43" s="50" t="s">
        <v>11</v>
      </c>
      <c r="T43" s="50" t="s">
        <v>11</v>
      </c>
      <c r="U43" s="50" t="s">
        <v>11</v>
      </c>
      <c r="V43" s="50" t="s">
        <v>11</v>
      </c>
      <c r="W43" s="50" t="s">
        <v>11</v>
      </c>
      <c r="X43" s="50" t="s">
        <v>11</v>
      </c>
      <c r="Y43" s="50" t="s">
        <v>11</v>
      </c>
      <c r="Z43" s="50" t="s">
        <v>11</v>
      </c>
      <c r="AA43" s="50" t="s">
        <v>11</v>
      </c>
      <c r="AB43" s="50" t="s">
        <v>11</v>
      </c>
      <c r="AC43" s="50" t="s">
        <v>11</v>
      </c>
      <c r="AD43" s="50" t="s">
        <v>11</v>
      </c>
      <c r="AE43" s="50" t="s">
        <v>11</v>
      </c>
      <c r="AF43" s="50" t="s">
        <v>11</v>
      </c>
      <c r="AG43" s="50" t="s">
        <v>11</v>
      </c>
      <c r="AH43" s="50" t="s">
        <v>11</v>
      </c>
      <c r="AI43" s="50" t="s">
        <v>11</v>
      </c>
      <c r="AJ43" s="50" t="s">
        <v>11</v>
      </c>
      <c r="AK43" s="50" t="s">
        <v>11</v>
      </c>
      <c r="AL43" s="50" t="s">
        <v>11</v>
      </c>
      <c r="AM43" s="50" t="s">
        <v>11</v>
      </c>
      <c r="AN43" s="51">
        <f t="shared" si="1"/>
        <v>1297.3000000000002</v>
      </c>
      <c r="AO43" s="52" t="s">
        <v>44</v>
      </c>
      <c r="AP43" s="53" t="s">
        <v>45</v>
      </c>
    </row>
    <row r="44" spans="1:42" x14ac:dyDescent="0.2">
      <c r="A44" s="48" t="s">
        <v>80</v>
      </c>
      <c r="B44" s="48" t="s">
        <v>81</v>
      </c>
      <c r="C44" s="39">
        <v>0</v>
      </c>
      <c r="D44" s="39">
        <v>0.5</v>
      </c>
      <c r="E44" s="39">
        <v>0</v>
      </c>
      <c r="F44" s="39">
        <v>0</v>
      </c>
      <c r="G44" s="39">
        <v>53.9</v>
      </c>
      <c r="H44" s="39">
        <v>0</v>
      </c>
      <c r="I44" s="49">
        <v>350.83</v>
      </c>
      <c r="J44" s="49">
        <v>236.42</v>
      </c>
      <c r="K44" s="49">
        <v>0</v>
      </c>
      <c r="L44" s="49">
        <v>0</v>
      </c>
      <c r="M44" s="49">
        <v>0</v>
      </c>
      <c r="N44" s="49">
        <v>325.88</v>
      </c>
      <c r="O44" s="49">
        <v>2787.14</v>
      </c>
      <c r="P44" s="49">
        <v>2981.83</v>
      </c>
      <c r="Q44" s="49">
        <v>1799.11</v>
      </c>
      <c r="R44" s="49">
        <v>2815.1</v>
      </c>
      <c r="S44" s="49">
        <v>2924.3</v>
      </c>
      <c r="T44" s="49">
        <v>2119.4299999999998</v>
      </c>
      <c r="U44" s="49">
        <v>2138.56</v>
      </c>
      <c r="V44" s="49">
        <v>1157.6099999999999</v>
      </c>
      <c r="W44" s="50" t="s">
        <v>11</v>
      </c>
      <c r="X44" s="50" t="s">
        <v>11</v>
      </c>
      <c r="Y44" s="50" t="s">
        <v>11</v>
      </c>
      <c r="Z44" s="50" t="s">
        <v>11</v>
      </c>
      <c r="AA44" s="50" t="s">
        <v>11</v>
      </c>
      <c r="AB44" s="50" t="s">
        <v>11</v>
      </c>
      <c r="AC44" s="50" t="s">
        <v>11</v>
      </c>
      <c r="AD44" s="50" t="s">
        <v>11</v>
      </c>
      <c r="AE44" s="50" t="s">
        <v>11</v>
      </c>
      <c r="AF44" s="50" t="s">
        <v>11</v>
      </c>
      <c r="AG44" s="50" t="s">
        <v>11</v>
      </c>
      <c r="AH44" s="50" t="s">
        <v>11</v>
      </c>
      <c r="AI44" s="50" t="s">
        <v>11</v>
      </c>
      <c r="AJ44" s="50" t="s">
        <v>11</v>
      </c>
      <c r="AK44" s="50" t="s">
        <v>11</v>
      </c>
      <c r="AL44" s="50" t="s">
        <v>11</v>
      </c>
      <c r="AM44" s="50" t="s">
        <v>11</v>
      </c>
      <c r="AN44" s="51">
        <f t="shared" si="1"/>
        <v>19690.610000000004</v>
      </c>
      <c r="AO44" s="52" t="s">
        <v>12</v>
      </c>
      <c r="AP44" s="53" t="s">
        <v>45</v>
      </c>
    </row>
    <row r="45" spans="1:42" x14ac:dyDescent="0.2">
      <c r="A45" s="37" t="s">
        <v>82</v>
      </c>
      <c r="B45" s="37" t="s">
        <v>83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42">
        <v>322.26</v>
      </c>
      <c r="J45" s="42">
        <v>239.97</v>
      </c>
      <c r="K45" s="42">
        <v>124.75</v>
      </c>
      <c r="L45" s="42">
        <v>0</v>
      </c>
      <c r="M45" s="42">
        <v>76.900000000000006</v>
      </c>
      <c r="N45" s="42">
        <v>490.54</v>
      </c>
      <c r="O45" s="42">
        <v>979.61999999999989</v>
      </c>
      <c r="P45" s="42">
        <v>559.59</v>
      </c>
      <c r="Q45" s="42">
        <v>318.02</v>
      </c>
      <c r="R45" s="42">
        <v>564.25</v>
      </c>
      <c r="S45" s="42">
        <v>377.29</v>
      </c>
      <c r="T45" s="42">
        <v>460.31</v>
      </c>
      <c r="U45" s="42">
        <v>668.04</v>
      </c>
      <c r="V45" s="42">
        <v>162.19999999999999</v>
      </c>
      <c r="W45" s="42">
        <v>0</v>
      </c>
      <c r="X45" s="42">
        <v>0</v>
      </c>
      <c r="Y45" s="42">
        <v>790.67</v>
      </c>
      <c r="Z45" s="42">
        <v>687.8</v>
      </c>
      <c r="AA45" s="42">
        <v>104</v>
      </c>
      <c r="AB45" s="42">
        <v>0</v>
      </c>
      <c r="AC45" s="42">
        <v>0</v>
      </c>
      <c r="AD45" s="42">
        <v>0</v>
      </c>
      <c r="AE45" s="42">
        <v>0</v>
      </c>
      <c r="AF45" s="42">
        <v>684</v>
      </c>
      <c r="AG45" s="42">
        <v>0</v>
      </c>
      <c r="AH45" s="42">
        <v>1337</v>
      </c>
      <c r="AI45" s="42">
        <v>0</v>
      </c>
      <c r="AJ45" s="42">
        <v>755</v>
      </c>
      <c r="AK45" s="42">
        <v>0</v>
      </c>
      <c r="AL45" s="42">
        <v>555.87</v>
      </c>
      <c r="AM45" s="43" t="s">
        <v>11</v>
      </c>
      <c r="AN45" s="44">
        <f t="shared" si="1"/>
        <v>10258.08</v>
      </c>
      <c r="AO45" s="45" t="s">
        <v>12</v>
      </c>
      <c r="AP45" s="46" t="s">
        <v>45</v>
      </c>
    </row>
    <row r="46" spans="1:42" x14ac:dyDescent="0.2">
      <c r="A46" s="37" t="s">
        <v>82</v>
      </c>
      <c r="B46" s="37" t="s">
        <v>84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0.5</v>
      </c>
      <c r="I46" s="42">
        <v>524.98</v>
      </c>
      <c r="J46" s="42">
        <v>138.97999999999999</v>
      </c>
      <c r="K46" s="42">
        <v>99.71</v>
      </c>
      <c r="L46" s="42">
        <v>106.87</v>
      </c>
      <c r="M46" s="42">
        <v>0</v>
      </c>
      <c r="N46" s="42">
        <v>124.46</v>
      </c>
      <c r="O46" s="42">
        <v>189.51999999999998</v>
      </c>
      <c r="P46" s="42">
        <v>110.73</v>
      </c>
      <c r="Q46" s="42">
        <v>124.86</v>
      </c>
      <c r="R46" s="42">
        <v>257.73</v>
      </c>
      <c r="S46" s="42">
        <v>199.15</v>
      </c>
      <c r="T46" s="42">
        <v>405.13</v>
      </c>
      <c r="U46" s="42">
        <v>262.45999999999998</v>
      </c>
      <c r="V46" s="42">
        <v>269.26</v>
      </c>
      <c r="W46" s="42">
        <v>253.07</v>
      </c>
      <c r="X46" s="42">
        <v>0</v>
      </c>
      <c r="Y46" s="42">
        <v>1073.25</v>
      </c>
      <c r="Z46" s="42">
        <v>1181</v>
      </c>
      <c r="AA46" s="42">
        <v>1117</v>
      </c>
      <c r="AB46" s="42">
        <v>666</v>
      </c>
      <c r="AC46" s="42">
        <v>430</v>
      </c>
      <c r="AD46" s="42">
        <v>340</v>
      </c>
      <c r="AE46" s="42">
        <v>814</v>
      </c>
      <c r="AF46" s="42">
        <v>577</v>
      </c>
      <c r="AG46" s="43" t="s">
        <v>11</v>
      </c>
      <c r="AH46" s="43" t="s">
        <v>11</v>
      </c>
      <c r="AI46" s="43" t="s">
        <v>11</v>
      </c>
      <c r="AJ46" s="43" t="s">
        <v>11</v>
      </c>
      <c r="AK46" s="43" t="s">
        <v>11</v>
      </c>
      <c r="AL46" s="43" t="s">
        <v>11</v>
      </c>
      <c r="AM46" s="43" t="s">
        <v>11</v>
      </c>
      <c r="AN46" s="44">
        <f t="shared" si="1"/>
        <v>9265.66</v>
      </c>
      <c r="AO46" s="45" t="s">
        <v>12</v>
      </c>
      <c r="AP46" s="46" t="s">
        <v>45</v>
      </c>
    </row>
    <row r="47" spans="1:42" x14ac:dyDescent="0.2">
      <c r="A47" s="37" t="s">
        <v>85</v>
      </c>
      <c r="B47" s="37" t="s">
        <v>86</v>
      </c>
      <c r="C47" s="38">
        <v>700.66</v>
      </c>
      <c r="D47" s="38">
        <v>258.81</v>
      </c>
      <c r="E47" s="38">
        <v>0</v>
      </c>
      <c r="F47" s="38">
        <v>0</v>
      </c>
      <c r="G47" s="38">
        <v>0</v>
      </c>
      <c r="H47" s="38">
        <v>0</v>
      </c>
      <c r="I47" s="42">
        <v>600.41</v>
      </c>
      <c r="J47" s="42">
        <v>251.64</v>
      </c>
      <c r="K47" s="61">
        <v>0</v>
      </c>
      <c r="L47" s="42">
        <v>377.94</v>
      </c>
      <c r="M47" s="42">
        <v>118.61</v>
      </c>
      <c r="N47" s="42">
        <v>852.83</v>
      </c>
      <c r="O47" s="42">
        <v>1097.2499999999998</v>
      </c>
      <c r="P47" s="42">
        <v>972.88</v>
      </c>
      <c r="Q47" s="42">
        <v>602.9</v>
      </c>
      <c r="R47" s="42">
        <v>661.53</v>
      </c>
      <c r="S47" s="42">
        <v>164.46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834</v>
      </c>
      <c r="AG47" s="42">
        <v>562</v>
      </c>
      <c r="AH47" s="42">
        <v>669</v>
      </c>
      <c r="AI47" s="42">
        <v>899</v>
      </c>
      <c r="AJ47" s="42">
        <v>1045</v>
      </c>
      <c r="AK47" s="42">
        <v>136.28</v>
      </c>
      <c r="AL47" s="43" t="s">
        <v>11</v>
      </c>
      <c r="AM47" s="43" t="s">
        <v>11</v>
      </c>
      <c r="AN47" s="44">
        <f t="shared" si="1"/>
        <v>10805.199999999999</v>
      </c>
      <c r="AO47" s="45" t="s">
        <v>12</v>
      </c>
      <c r="AP47" s="46" t="s">
        <v>45</v>
      </c>
    </row>
    <row r="48" spans="1:42" x14ac:dyDescent="0.2">
      <c r="A48" s="37" t="s">
        <v>85</v>
      </c>
      <c r="B48" s="37" t="s">
        <v>87</v>
      </c>
      <c r="C48" s="38">
        <v>382.71</v>
      </c>
      <c r="D48" s="38">
        <v>435.05</v>
      </c>
      <c r="E48" s="38">
        <v>77.099999999999994</v>
      </c>
      <c r="F48" s="38">
        <v>0</v>
      </c>
      <c r="G48" s="38">
        <v>13.5</v>
      </c>
      <c r="H48" s="38">
        <v>0.5</v>
      </c>
      <c r="I48" s="42">
        <v>355.8</v>
      </c>
      <c r="J48" s="42">
        <v>338.65</v>
      </c>
      <c r="K48" s="61">
        <v>0</v>
      </c>
      <c r="L48" s="61">
        <v>0</v>
      </c>
      <c r="M48" s="42">
        <v>2.5299999999999998</v>
      </c>
      <c r="N48" s="42">
        <v>396.71</v>
      </c>
      <c r="O48" s="42">
        <v>435.76</v>
      </c>
      <c r="P48" s="42">
        <v>0</v>
      </c>
      <c r="Q48" s="42">
        <v>293.27</v>
      </c>
      <c r="R48" s="42">
        <v>310.22000000000003</v>
      </c>
      <c r="S48" s="42">
        <v>51.74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565.42999999999995</v>
      </c>
      <c r="AG48" s="42">
        <v>489.64</v>
      </c>
      <c r="AH48" s="42">
        <v>625.28</v>
      </c>
      <c r="AI48" s="42">
        <v>596.01</v>
      </c>
      <c r="AJ48" s="42">
        <v>306.05</v>
      </c>
      <c r="AK48" s="43" t="s">
        <v>11</v>
      </c>
      <c r="AL48" s="43" t="s">
        <v>11</v>
      </c>
      <c r="AM48" s="43" t="s">
        <v>11</v>
      </c>
      <c r="AN48" s="44">
        <f t="shared" si="1"/>
        <v>5675.95</v>
      </c>
      <c r="AO48" s="45" t="s">
        <v>12</v>
      </c>
      <c r="AP48" s="46" t="s">
        <v>45</v>
      </c>
    </row>
    <row r="49" spans="1:42" x14ac:dyDescent="0.2">
      <c r="A49" s="37" t="s">
        <v>31</v>
      </c>
      <c r="B49" s="37" t="s">
        <v>88</v>
      </c>
      <c r="C49" s="38">
        <v>471.75</v>
      </c>
      <c r="D49" s="38">
        <v>703.97</v>
      </c>
      <c r="E49" s="38">
        <v>115.83</v>
      </c>
      <c r="F49" s="38">
        <v>1.5</v>
      </c>
      <c r="G49" s="38">
        <v>268.52999999999997</v>
      </c>
      <c r="H49" s="38">
        <v>307.16999999999996</v>
      </c>
      <c r="I49" s="42">
        <v>205.72</v>
      </c>
      <c r="J49" s="42">
        <v>511.87</v>
      </c>
      <c r="K49" s="61">
        <v>0</v>
      </c>
      <c r="L49" s="42">
        <v>142.26</v>
      </c>
      <c r="M49" s="42">
        <v>194.38</v>
      </c>
      <c r="N49" s="41">
        <v>201.46</v>
      </c>
      <c r="O49" s="42">
        <v>117.93</v>
      </c>
      <c r="P49" s="42">
        <f>153.59+407.88</f>
        <v>561.47</v>
      </c>
      <c r="Q49" s="42">
        <f>47.98+353.75</f>
        <v>401.73</v>
      </c>
      <c r="R49" s="42">
        <f>33.74+441.1</f>
        <v>474.84000000000003</v>
      </c>
      <c r="S49" s="42">
        <v>0</v>
      </c>
      <c r="T49" s="42">
        <v>4</v>
      </c>
      <c r="U49" s="42">
        <v>1</v>
      </c>
      <c r="V49" s="42">
        <v>3.5</v>
      </c>
      <c r="W49" s="42">
        <v>284.81</v>
      </c>
      <c r="X49" s="42">
        <v>0</v>
      </c>
      <c r="Y49" s="42">
        <v>3.5</v>
      </c>
      <c r="Z49" s="42">
        <v>305.66000000000003</v>
      </c>
      <c r="AA49" s="42">
        <v>3.5</v>
      </c>
      <c r="AB49" s="42">
        <v>26.21</v>
      </c>
      <c r="AC49" s="42">
        <v>583</v>
      </c>
      <c r="AD49" s="42">
        <v>719</v>
      </c>
      <c r="AE49" s="42">
        <v>476</v>
      </c>
      <c r="AF49" s="42">
        <v>432</v>
      </c>
      <c r="AG49" s="42">
        <v>764</v>
      </c>
      <c r="AH49" s="42">
        <v>1301</v>
      </c>
      <c r="AI49" s="42">
        <v>957</v>
      </c>
      <c r="AJ49" s="43" t="s">
        <v>11</v>
      </c>
      <c r="AK49" s="43" t="s">
        <v>11</v>
      </c>
      <c r="AL49" s="43" t="s">
        <v>11</v>
      </c>
      <c r="AM49" s="43" t="s">
        <v>11</v>
      </c>
      <c r="AN49" s="44">
        <f t="shared" si="1"/>
        <v>10544.59</v>
      </c>
      <c r="AO49" s="45" t="s">
        <v>12</v>
      </c>
      <c r="AP49" s="46" t="s">
        <v>45</v>
      </c>
    </row>
    <row r="50" spans="1:42" x14ac:dyDescent="0.2">
      <c r="A50" s="48" t="s">
        <v>89</v>
      </c>
      <c r="B50" s="62" t="s">
        <v>90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49">
        <v>0</v>
      </c>
      <c r="J50" s="50">
        <v>0</v>
      </c>
      <c r="K50" s="58">
        <v>0</v>
      </c>
      <c r="L50" s="58">
        <v>0</v>
      </c>
      <c r="M50" s="49">
        <v>0</v>
      </c>
      <c r="N50" s="54">
        <v>42.94</v>
      </c>
      <c r="O50" s="49">
        <v>100.63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490.55799999999999</v>
      </c>
      <c r="Z50" s="49">
        <v>549.48</v>
      </c>
      <c r="AA50" s="49">
        <v>120</v>
      </c>
      <c r="AB50" s="49">
        <v>10.73</v>
      </c>
      <c r="AC50" s="49">
        <v>4.3600000000000003</v>
      </c>
      <c r="AD50" s="49">
        <v>260</v>
      </c>
      <c r="AE50" s="49">
        <v>139</v>
      </c>
      <c r="AF50" s="49">
        <v>198</v>
      </c>
      <c r="AG50" s="49">
        <v>350</v>
      </c>
      <c r="AH50" s="49">
        <v>533</v>
      </c>
      <c r="AI50" s="49">
        <v>84</v>
      </c>
      <c r="AJ50" s="49">
        <v>25</v>
      </c>
      <c r="AK50" s="50" t="s">
        <v>11</v>
      </c>
      <c r="AL50" s="50" t="s">
        <v>11</v>
      </c>
      <c r="AM50" s="50" t="s">
        <v>11</v>
      </c>
      <c r="AN50" s="51">
        <f t="shared" si="1"/>
        <v>2907.6979999999999</v>
      </c>
      <c r="AO50" s="52" t="s">
        <v>12</v>
      </c>
      <c r="AP50" s="53" t="s">
        <v>45</v>
      </c>
    </row>
    <row r="51" spans="1:42" x14ac:dyDescent="0.2">
      <c r="A51" s="48" t="s">
        <v>91</v>
      </c>
      <c r="B51" s="48" t="s">
        <v>92</v>
      </c>
      <c r="C51" s="39">
        <v>0.5</v>
      </c>
      <c r="D51" s="39">
        <v>1</v>
      </c>
      <c r="E51" s="39">
        <v>0.5</v>
      </c>
      <c r="F51" s="39">
        <v>0</v>
      </c>
      <c r="G51" s="57">
        <v>529.48</v>
      </c>
      <c r="H51" s="39">
        <v>0</v>
      </c>
      <c r="I51" s="49">
        <v>289.55</v>
      </c>
      <c r="J51" s="49">
        <v>36.979999999999997</v>
      </c>
      <c r="K51" s="58">
        <v>0</v>
      </c>
      <c r="L51" s="58">
        <v>0</v>
      </c>
      <c r="M51" s="49">
        <v>129.11000000000001</v>
      </c>
      <c r="N51" s="49">
        <v>722.22</v>
      </c>
      <c r="O51" s="49">
        <v>960.57</v>
      </c>
      <c r="P51" s="49">
        <v>1081.3699999999999</v>
      </c>
      <c r="Q51" s="49">
        <v>1.1599999999999999</v>
      </c>
      <c r="R51" s="49">
        <v>2212.73</v>
      </c>
      <c r="S51" s="49">
        <v>916.54</v>
      </c>
      <c r="T51" s="49">
        <v>508.99</v>
      </c>
      <c r="U51" s="49">
        <v>508.99</v>
      </c>
      <c r="V51" s="49">
        <v>845.05</v>
      </c>
      <c r="W51" s="49">
        <v>0</v>
      </c>
      <c r="X51" s="49">
        <v>-2161</v>
      </c>
      <c r="Y51" s="49">
        <v>1607.59</v>
      </c>
      <c r="Z51" s="49">
        <v>1640.24</v>
      </c>
      <c r="AA51" s="49">
        <v>1937</v>
      </c>
      <c r="AB51" s="49">
        <v>1891</v>
      </c>
      <c r="AC51" s="49">
        <v>2144.4299999999998</v>
      </c>
      <c r="AD51" s="49">
        <v>1694</v>
      </c>
      <c r="AE51" s="49">
        <v>0</v>
      </c>
      <c r="AF51" s="49">
        <v>1658</v>
      </c>
      <c r="AG51" s="49">
        <v>2294</v>
      </c>
      <c r="AH51" s="49">
        <v>2724</v>
      </c>
      <c r="AI51" s="49">
        <v>2439</v>
      </c>
      <c r="AJ51" s="49">
        <v>2304</v>
      </c>
      <c r="AK51" s="49">
        <v>1679</v>
      </c>
      <c r="AL51" s="50" t="s">
        <v>11</v>
      </c>
      <c r="AM51" s="50" t="s">
        <v>11</v>
      </c>
      <c r="AN51" s="51">
        <f t="shared" si="1"/>
        <v>30596</v>
      </c>
      <c r="AO51" s="52" t="s">
        <v>12</v>
      </c>
      <c r="AP51" s="53" t="s">
        <v>45</v>
      </c>
    </row>
    <row r="52" spans="1:42" x14ac:dyDescent="0.2">
      <c r="A52" s="48" t="s">
        <v>93</v>
      </c>
      <c r="B52" s="48" t="s">
        <v>94</v>
      </c>
      <c r="C52" s="39">
        <v>2055</v>
      </c>
      <c r="D52" s="39">
        <v>1845.74</v>
      </c>
      <c r="E52" s="39">
        <v>421.97</v>
      </c>
      <c r="F52" s="39">
        <v>0</v>
      </c>
      <c r="G52" s="39">
        <v>0</v>
      </c>
      <c r="H52" s="39">
        <v>0</v>
      </c>
      <c r="I52" s="49">
        <v>547.91</v>
      </c>
      <c r="J52" s="49">
        <v>170.11</v>
      </c>
      <c r="K52" s="49">
        <v>329.45</v>
      </c>
      <c r="L52" s="49">
        <v>1.03</v>
      </c>
      <c r="M52" s="49">
        <v>283.60000000000002</v>
      </c>
      <c r="N52" s="49">
        <v>402.78</v>
      </c>
      <c r="O52" s="49">
        <v>725.75</v>
      </c>
      <c r="P52" s="49">
        <v>833.95</v>
      </c>
      <c r="Q52" s="49">
        <v>721.27</v>
      </c>
      <c r="R52" s="49">
        <v>642.83000000000004</v>
      </c>
      <c r="S52" s="49">
        <v>139.80000000000001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1039</v>
      </c>
      <c r="AG52" s="49">
        <v>539</v>
      </c>
      <c r="AH52" s="49">
        <v>667</v>
      </c>
      <c r="AI52" s="49">
        <v>655</v>
      </c>
      <c r="AJ52" s="49">
        <v>473</v>
      </c>
      <c r="AK52" s="50" t="s">
        <v>11</v>
      </c>
      <c r="AL52" s="50" t="s">
        <v>11</v>
      </c>
      <c r="AM52" s="50" t="s">
        <v>11</v>
      </c>
      <c r="AN52" s="51">
        <f t="shared" si="1"/>
        <v>12494.189999999999</v>
      </c>
      <c r="AO52" s="52" t="s">
        <v>12</v>
      </c>
      <c r="AP52" s="53" t="s">
        <v>45</v>
      </c>
    </row>
    <row r="53" spans="1:42" x14ac:dyDescent="0.2">
      <c r="A53" s="48" t="s">
        <v>95</v>
      </c>
      <c r="B53" s="48" t="s">
        <v>96</v>
      </c>
      <c r="C53" s="39">
        <v>0</v>
      </c>
      <c r="D53" s="39">
        <v>0.6</v>
      </c>
      <c r="E53" s="39">
        <v>22.64</v>
      </c>
      <c r="F53" s="39">
        <v>0</v>
      </c>
      <c r="G53" s="39">
        <v>98.94</v>
      </c>
      <c r="H53" s="39">
        <v>658.06000000000017</v>
      </c>
      <c r="I53" s="49">
        <v>400.54</v>
      </c>
      <c r="J53" s="49">
        <v>189.22</v>
      </c>
      <c r="K53" s="58">
        <v>0</v>
      </c>
      <c r="L53" s="49">
        <v>16.93</v>
      </c>
      <c r="M53" s="49">
        <v>157.57</v>
      </c>
      <c r="N53" s="49">
        <v>448.64</v>
      </c>
      <c r="O53" s="49">
        <v>0</v>
      </c>
      <c r="P53" s="49">
        <v>0</v>
      </c>
      <c r="Q53" s="49">
        <v>456.57</v>
      </c>
      <c r="R53" s="49">
        <v>461.69</v>
      </c>
      <c r="S53" s="49">
        <v>613.83000000000004</v>
      </c>
      <c r="T53" s="49">
        <v>0</v>
      </c>
      <c r="U53" s="49">
        <v>0</v>
      </c>
      <c r="V53" s="49">
        <v>0</v>
      </c>
      <c r="W53" s="49">
        <v>0</v>
      </c>
      <c r="X53" s="49">
        <v>-1074</v>
      </c>
      <c r="Y53" s="49">
        <v>0</v>
      </c>
      <c r="Z53" s="49">
        <v>0</v>
      </c>
      <c r="AA53" s="49">
        <v>177</v>
      </c>
      <c r="AB53" s="49">
        <v>0</v>
      </c>
      <c r="AC53" s="49">
        <v>0</v>
      </c>
      <c r="AD53" s="49">
        <v>0</v>
      </c>
      <c r="AE53" s="49">
        <v>455</v>
      </c>
      <c r="AF53" s="49">
        <v>1</v>
      </c>
      <c r="AG53" s="49">
        <v>0</v>
      </c>
      <c r="AH53" s="49">
        <v>522</v>
      </c>
      <c r="AI53" s="50" t="s">
        <v>11</v>
      </c>
      <c r="AJ53" s="50" t="s">
        <v>11</v>
      </c>
      <c r="AK53" s="50" t="s">
        <v>11</v>
      </c>
      <c r="AL53" s="50" t="s">
        <v>11</v>
      </c>
      <c r="AM53" s="50" t="s">
        <v>11</v>
      </c>
      <c r="AN53" s="51">
        <f t="shared" si="1"/>
        <v>3606.2300000000005</v>
      </c>
      <c r="AO53" s="52" t="s">
        <v>12</v>
      </c>
      <c r="AP53" s="53" t="s">
        <v>45</v>
      </c>
    </row>
    <row r="54" spans="1:42" x14ac:dyDescent="0.2">
      <c r="A54" s="48" t="s">
        <v>97</v>
      </c>
      <c r="B54" s="48" t="s">
        <v>98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49">
        <v>0</v>
      </c>
      <c r="J54" s="49">
        <v>0</v>
      </c>
      <c r="K54" s="58">
        <v>0</v>
      </c>
      <c r="L54" s="49">
        <v>489.33</v>
      </c>
      <c r="M54" s="49">
        <v>0</v>
      </c>
      <c r="N54" s="54">
        <v>0</v>
      </c>
      <c r="O54" s="49">
        <v>0</v>
      </c>
      <c r="P54" s="49">
        <f>134.89+42.76</f>
        <v>177.64999999999998</v>
      </c>
      <c r="Q54" s="49">
        <v>543.01</v>
      </c>
      <c r="R54" s="49">
        <v>638.71</v>
      </c>
      <c r="S54" s="49">
        <v>161.13999999999999</v>
      </c>
      <c r="T54" s="49">
        <v>81.59</v>
      </c>
      <c r="U54" s="49">
        <v>0</v>
      </c>
      <c r="V54" s="49">
        <v>0</v>
      </c>
      <c r="W54" s="49">
        <v>0</v>
      </c>
      <c r="X54" s="49">
        <v>0</v>
      </c>
      <c r="Y54" s="49">
        <v>573</v>
      </c>
      <c r="Z54" s="49">
        <v>234.6</v>
      </c>
      <c r="AA54" s="49">
        <v>560</v>
      </c>
      <c r="AB54" s="49">
        <v>1</v>
      </c>
      <c r="AC54" s="49">
        <v>553</v>
      </c>
      <c r="AD54" s="49">
        <v>262</v>
      </c>
      <c r="AE54" s="49">
        <v>485</v>
      </c>
      <c r="AF54" s="49">
        <v>602</v>
      </c>
      <c r="AG54" s="49">
        <v>1009</v>
      </c>
      <c r="AH54" s="49">
        <v>1059</v>
      </c>
      <c r="AI54" s="49">
        <v>1107</v>
      </c>
      <c r="AJ54" s="49">
        <v>1293</v>
      </c>
      <c r="AK54" s="49">
        <v>1053</v>
      </c>
      <c r="AL54" s="49">
        <v>19.05</v>
      </c>
      <c r="AM54" s="50" t="s">
        <v>11</v>
      </c>
      <c r="AN54" s="51">
        <f t="shared" si="1"/>
        <v>10902.08</v>
      </c>
      <c r="AO54" s="52" t="s">
        <v>12</v>
      </c>
      <c r="AP54" s="53" t="s">
        <v>45</v>
      </c>
    </row>
    <row r="55" spans="1:42" x14ac:dyDescent="0.2">
      <c r="A55" s="37" t="s">
        <v>99</v>
      </c>
      <c r="B55" s="37" t="s">
        <v>100</v>
      </c>
      <c r="C55" s="43" t="s">
        <v>11</v>
      </c>
      <c r="D55" s="43" t="s">
        <v>11</v>
      </c>
      <c r="E55" s="43" t="s">
        <v>11</v>
      </c>
      <c r="F55" s="43" t="s">
        <v>11</v>
      </c>
      <c r="G55" s="43" t="s">
        <v>11</v>
      </c>
      <c r="H55" s="43" t="s">
        <v>11</v>
      </c>
      <c r="I55" s="43" t="s">
        <v>11</v>
      </c>
      <c r="J55" s="43" t="s">
        <v>11</v>
      </c>
      <c r="K55" s="43" t="s">
        <v>11</v>
      </c>
      <c r="L55" s="43" t="s">
        <v>11</v>
      </c>
      <c r="M55" s="43" t="s">
        <v>11</v>
      </c>
      <c r="N55" s="41">
        <v>676.06</v>
      </c>
      <c r="O55" s="43">
        <v>470.7</v>
      </c>
      <c r="P55" s="43" t="s">
        <v>11</v>
      </c>
      <c r="Q55" s="43" t="s">
        <v>11</v>
      </c>
      <c r="R55" s="43" t="s">
        <v>11</v>
      </c>
      <c r="S55" s="43" t="s">
        <v>11</v>
      </c>
      <c r="T55" s="43" t="s">
        <v>11</v>
      </c>
      <c r="U55" s="43" t="s">
        <v>11</v>
      </c>
      <c r="V55" s="43" t="s">
        <v>11</v>
      </c>
      <c r="W55" s="43" t="s">
        <v>11</v>
      </c>
      <c r="X55" s="43" t="s">
        <v>11</v>
      </c>
      <c r="Y55" s="43" t="s">
        <v>11</v>
      </c>
      <c r="Z55" s="43" t="s">
        <v>11</v>
      </c>
      <c r="AA55" s="43" t="s">
        <v>11</v>
      </c>
      <c r="AB55" s="43" t="s">
        <v>11</v>
      </c>
      <c r="AC55" s="43" t="s">
        <v>11</v>
      </c>
      <c r="AD55" s="43" t="s">
        <v>11</v>
      </c>
      <c r="AE55" s="43" t="s">
        <v>11</v>
      </c>
      <c r="AF55" s="43" t="s">
        <v>11</v>
      </c>
      <c r="AG55" s="43" t="s">
        <v>11</v>
      </c>
      <c r="AH55" s="43" t="s">
        <v>11</v>
      </c>
      <c r="AI55" s="43" t="s">
        <v>11</v>
      </c>
      <c r="AJ55" s="43" t="s">
        <v>11</v>
      </c>
      <c r="AK55" s="43" t="s">
        <v>11</v>
      </c>
      <c r="AL55" s="43" t="s">
        <v>11</v>
      </c>
      <c r="AM55" s="43" t="s">
        <v>11</v>
      </c>
      <c r="AN55" s="44">
        <f t="shared" si="1"/>
        <v>1146.76</v>
      </c>
      <c r="AO55" s="45" t="s">
        <v>12</v>
      </c>
      <c r="AP55" s="46" t="s">
        <v>45</v>
      </c>
    </row>
    <row r="56" spans="1:42" x14ac:dyDescent="0.2">
      <c r="A56" s="37" t="s">
        <v>101</v>
      </c>
      <c r="B56" s="37" t="s">
        <v>102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1</v>
      </c>
      <c r="I56" s="42">
        <v>0</v>
      </c>
      <c r="J56" s="42">
        <v>0</v>
      </c>
      <c r="K56" s="61">
        <v>0</v>
      </c>
      <c r="L56" s="61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287</v>
      </c>
      <c r="AD56" s="42">
        <v>457</v>
      </c>
      <c r="AE56" s="42">
        <v>496</v>
      </c>
      <c r="AF56" s="42">
        <v>403</v>
      </c>
      <c r="AG56" s="42">
        <v>694</v>
      </c>
      <c r="AH56" s="42">
        <v>680</v>
      </c>
      <c r="AI56" s="42">
        <v>732</v>
      </c>
      <c r="AJ56" s="42">
        <v>48</v>
      </c>
      <c r="AK56" s="43" t="s">
        <v>11</v>
      </c>
      <c r="AL56" s="43" t="s">
        <v>11</v>
      </c>
      <c r="AM56" s="43" t="s">
        <v>11</v>
      </c>
      <c r="AN56" s="44">
        <f t="shared" si="1"/>
        <v>3798</v>
      </c>
      <c r="AO56" s="45" t="s">
        <v>12</v>
      </c>
      <c r="AP56" s="46" t="s">
        <v>45</v>
      </c>
    </row>
    <row r="57" spans="1:42" x14ac:dyDescent="0.2">
      <c r="A57" s="37" t="s">
        <v>103</v>
      </c>
      <c r="B57" s="37" t="s">
        <v>104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43">
        <v>0</v>
      </c>
      <c r="J57" s="43">
        <v>0</v>
      </c>
      <c r="K57" s="61">
        <v>0</v>
      </c>
      <c r="L57" s="61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68.19</v>
      </c>
      <c r="Y57" s="42">
        <v>35.39</v>
      </c>
      <c r="Z57" s="43" t="s">
        <v>11</v>
      </c>
      <c r="AA57" s="43" t="s">
        <v>11</v>
      </c>
      <c r="AB57" s="43" t="s">
        <v>11</v>
      </c>
      <c r="AC57" s="43" t="s">
        <v>11</v>
      </c>
      <c r="AD57" s="43" t="s">
        <v>11</v>
      </c>
      <c r="AE57" s="43" t="s">
        <v>11</v>
      </c>
      <c r="AF57" s="43" t="s">
        <v>11</v>
      </c>
      <c r="AG57" s="43" t="s">
        <v>11</v>
      </c>
      <c r="AH57" s="43" t="s">
        <v>11</v>
      </c>
      <c r="AI57" s="43" t="s">
        <v>11</v>
      </c>
      <c r="AJ57" s="43" t="s">
        <v>11</v>
      </c>
      <c r="AK57" s="43" t="s">
        <v>11</v>
      </c>
      <c r="AL57" s="43" t="s">
        <v>11</v>
      </c>
      <c r="AM57" s="43" t="s">
        <v>11</v>
      </c>
      <c r="AN57" s="44">
        <f t="shared" si="1"/>
        <v>103.58</v>
      </c>
      <c r="AO57" s="45" t="s">
        <v>12</v>
      </c>
      <c r="AP57" s="46" t="s">
        <v>45</v>
      </c>
    </row>
    <row r="58" spans="1:42" x14ac:dyDescent="0.2">
      <c r="A58" s="37" t="s">
        <v>105</v>
      </c>
      <c r="B58" s="37" t="s">
        <v>106</v>
      </c>
      <c r="C58" s="38">
        <v>7.11</v>
      </c>
      <c r="D58" s="38">
        <v>8.2899999999999991</v>
      </c>
      <c r="E58" s="38">
        <v>13.17</v>
      </c>
      <c r="F58" s="38">
        <v>22.269999999999996</v>
      </c>
      <c r="G58" s="38">
        <v>17.979999999999997</v>
      </c>
      <c r="H58" s="38">
        <v>19.87</v>
      </c>
      <c r="I58" s="42">
        <v>20.401</v>
      </c>
      <c r="J58" s="42">
        <v>18.11</v>
      </c>
      <c r="K58" s="42">
        <v>23.51</v>
      </c>
      <c r="L58" s="42">
        <v>22.96</v>
      </c>
      <c r="M58" s="42">
        <v>24.82</v>
      </c>
      <c r="N58" s="42">
        <v>26.7</v>
      </c>
      <c r="O58" s="42">
        <v>26.7</v>
      </c>
      <c r="P58" s="42">
        <v>27.86</v>
      </c>
      <c r="Q58" s="42">
        <v>27.83</v>
      </c>
      <c r="R58" s="42">
        <v>33.56</v>
      </c>
      <c r="S58" s="42">
        <v>38.24</v>
      </c>
      <c r="T58" s="42">
        <v>30.62</v>
      </c>
      <c r="U58" s="42">
        <v>27.49</v>
      </c>
      <c r="V58" s="42">
        <v>30.68</v>
      </c>
      <c r="W58" s="42">
        <v>27.2</v>
      </c>
      <c r="X58" s="42">
        <v>7.75</v>
      </c>
      <c r="Y58" s="42">
        <v>36.75</v>
      </c>
      <c r="Z58" s="42">
        <v>31.47</v>
      </c>
      <c r="AA58" s="42">
        <v>42.43</v>
      </c>
      <c r="AB58" s="42">
        <v>33.43</v>
      </c>
      <c r="AC58" s="42">
        <v>32.65</v>
      </c>
      <c r="AD58" s="42">
        <v>69.13</v>
      </c>
      <c r="AE58" s="42">
        <v>30.4</v>
      </c>
      <c r="AF58" s="42">
        <v>19.86</v>
      </c>
      <c r="AG58" s="42">
        <v>122.74</v>
      </c>
      <c r="AH58" s="42">
        <v>223.17</v>
      </c>
      <c r="AI58" s="42">
        <v>310.93</v>
      </c>
      <c r="AJ58" s="42">
        <v>245.26</v>
      </c>
      <c r="AK58" s="42">
        <v>187.44</v>
      </c>
      <c r="AL58" s="42">
        <v>13.4</v>
      </c>
      <c r="AM58" s="43" t="s">
        <v>11</v>
      </c>
      <c r="AN58" s="44">
        <f t="shared" si="1"/>
        <v>1902.181</v>
      </c>
      <c r="AO58" s="45" t="s">
        <v>12</v>
      </c>
      <c r="AP58" s="46" t="s">
        <v>45</v>
      </c>
    </row>
    <row r="59" spans="1:42" x14ac:dyDescent="0.2">
      <c r="A59" s="37" t="s">
        <v>107</v>
      </c>
      <c r="B59" s="37" t="s">
        <v>108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273</v>
      </c>
      <c r="I59" s="42">
        <v>150.91999999999999</v>
      </c>
      <c r="J59" s="43" t="s">
        <v>11</v>
      </c>
      <c r="K59" s="43" t="s">
        <v>11</v>
      </c>
      <c r="L59" s="43" t="s">
        <v>11</v>
      </c>
      <c r="M59" s="43" t="s">
        <v>11</v>
      </c>
      <c r="N59" s="43" t="s">
        <v>11</v>
      </c>
      <c r="O59" s="43">
        <v>0</v>
      </c>
      <c r="P59" s="43" t="s">
        <v>11</v>
      </c>
      <c r="Q59" s="43" t="s">
        <v>11</v>
      </c>
      <c r="R59" s="43" t="s">
        <v>11</v>
      </c>
      <c r="S59" s="43" t="s">
        <v>11</v>
      </c>
      <c r="T59" s="43" t="s">
        <v>11</v>
      </c>
      <c r="U59" s="43" t="s">
        <v>11</v>
      </c>
      <c r="V59" s="43" t="s">
        <v>11</v>
      </c>
      <c r="W59" s="43" t="s">
        <v>11</v>
      </c>
      <c r="X59" s="43" t="s">
        <v>11</v>
      </c>
      <c r="Y59" s="43" t="s">
        <v>11</v>
      </c>
      <c r="Z59" s="43" t="s">
        <v>11</v>
      </c>
      <c r="AA59" s="43" t="s">
        <v>11</v>
      </c>
      <c r="AB59" s="43" t="s">
        <v>11</v>
      </c>
      <c r="AC59" s="43" t="s">
        <v>11</v>
      </c>
      <c r="AD59" s="43" t="s">
        <v>11</v>
      </c>
      <c r="AE59" s="43" t="s">
        <v>11</v>
      </c>
      <c r="AF59" s="43" t="s">
        <v>11</v>
      </c>
      <c r="AG59" s="43" t="s">
        <v>11</v>
      </c>
      <c r="AH59" s="43" t="s">
        <v>11</v>
      </c>
      <c r="AI59" s="43" t="s">
        <v>11</v>
      </c>
      <c r="AJ59" s="43" t="s">
        <v>11</v>
      </c>
      <c r="AK59" s="43" t="s">
        <v>11</v>
      </c>
      <c r="AL59" s="43" t="s">
        <v>11</v>
      </c>
      <c r="AM59" s="43" t="s">
        <v>11</v>
      </c>
      <c r="AN59" s="44">
        <f t="shared" si="1"/>
        <v>423.91999999999996</v>
      </c>
      <c r="AO59" s="45" t="s">
        <v>44</v>
      </c>
      <c r="AP59" s="46" t="s">
        <v>45</v>
      </c>
    </row>
    <row r="60" spans="1:42" x14ac:dyDescent="0.2">
      <c r="A60" s="48" t="s">
        <v>107</v>
      </c>
      <c r="B60" s="48" t="s">
        <v>109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 t="s">
        <v>11</v>
      </c>
      <c r="I60" s="50" t="s">
        <v>11</v>
      </c>
      <c r="J60" s="50" t="s">
        <v>11</v>
      </c>
      <c r="K60" s="50" t="s">
        <v>11</v>
      </c>
      <c r="L60" s="50" t="s">
        <v>11</v>
      </c>
      <c r="M60" s="50" t="s">
        <v>11</v>
      </c>
      <c r="N60" s="50" t="s">
        <v>11</v>
      </c>
      <c r="O60" s="50">
        <v>0</v>
      </c>
      <c r="P60" s="50" t="s">
        <v>11</v>
      </c>
      <c r="Q60" s="50" t="s">
        <v>11</v>
      </c>
      <c r="R60" s="50" t="s">
        <v>11</v>
      </c>
      <c r="S60" s="50" t="s">
        <v>11</v>
      </c>
      <c r="T60" s="50" t="s">
        <v>11</v>
      </c>
      <c r="U60" s="50" t="s">
        <v>11</v>
      </c>
      <c r="V60" s="50" t="s">
        <v>11</v>
      </c>
      <c r="W60" s="50" t="s">
        <v>11</v>
      </c>
      <c r="X60" s="50" t="s">
        <v>11</v>
      </c>
      <c r="Y60" s="50" t="s">
        <v>11</v>
      </c>
      <c r="Z60" s="50" t="s">
        <v>11</v>
      </c>
      <c r="AA60" s="50" t="s">
        <v>11</v>
      </c>
      <c r="AB60" s="50" t="s">
        <v>11</v>
      </c>
      <c r="AC60" s="50" t="s">
        <v>11</v>
      </c>
      <c r="AD60" s="50" t="s">
        <v>11</v>
      </c>
      <c r="AE60" s="50" t="s">
        <v>11</v>
      </c>
      <c r="AF60" s="50" t="s">
        <v>11</v>
      </c>
      <c r="AG60" s="50" t="s">
        <v>11</v>
      </c>
      <c r="AH60" s="50" t="s">
        <v>11</v>
      </c>
      <c r="AI60" s="50" t="s">
        <v>11</v>
      </c>
      <c r="AJ60" s="50" t="s">
        <v>11</v>
      </c>
      <c r="AK60" s="50" t="s">
        <v>11</v>
      </c>
      <c r="AL60" s="50" t="s">
        <v>11</v>
      </c>
      <c r="AM60" s="50" t="s">
        <v>11</v>
      </c>
      <c r="AN60" s="51">
        <f t="shared" si="1"/>
        <v>0</v>
      </c>
      <c r="AO60" s="52" t="s">
        <v>12</v>
      </c>
      <c r="AP60" s="53" t="s">
        <v>45</v>
      </c>
    </row>
    <row r="61" spans="1:42" ht="15" thickBot="1" x14ac:dyDescent="0.25">
      <c r="A61" s="63"/>
      <c r="B61" s="63"/>
      <c r="C61" s="64"/>
      <c r="D61" s="64"/>
      <c r="E61" s="64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6"/>
      <c r="AO61" s="67"/>
      <c r="AP61" s="68"/>
    </row>
    <row r="62" spans="1:42" ht="15.75" thickTop="1" x14ac:dyDescent="0.25">
      <c r="A62" s="69"/>
      <c r="B62" s="69" t="s">
        <v>110</v>
      </c>
      <c r="C62" s="69">
        <f>SUM(C7:C60)</f>
        <v>31586.429999999997</v>
      </c>
      <c r="D62" s="69">
        <f>SUM(D7:D60)</f>
        <v>40365.279999999992</v>
      </c>
      <c r="E62" s="69">
        <f>SUM(E7:E60)</f>
        <v>5050.4600000000009</v>
      </c>
      <c r="F62" s="69">
        <f>SUM(F7:F60)</f>
        <v>749.82999999999993</v>
      </c>
      <c r="G62" s="69">
        <f t="shared" ref="G62:AM62" si="2">SUM(G7:G60)</f>
        <v>2725.6800000000003</v>
      </c>
      <c r="H62" s="69">
        <f t="shared" si="2"/>
        <v>10186.69211111111</v>
      </c>
      <c r="I62" s="69">
        <f t="shared" si="2"/>
        <v>9206.4910000000018</v>
      </c>
      <c r="J62" s="69">
        <f t="shared" si="2"/>
        <v>7878.6399999999994</v>
      </c>
      <c r="K62" s="69">
        <f t="shared" si="2"/>
        <v>6128.8600000000006</v>
      </c>
      <c r="L62" s="69">
        <f t="shared" si="2"/>
        <v>5999.8099999999995</v>
      </c>
      <c r="M62" s="69">
        <f t="shared" si="2"/>
        <v>9375.380000000001</v>
      </c>
      <c r="N62" s="69">
        <f t="shared" si="2"/>
        <v>18068.34</v>
      </c>
      <c r="O62" s="69">
        <f t="shared" si="2"/>
        <v>26304.19</v>
      </c>
      <c r="P62" s="69">
        <f t="shared" si="2"/>
        <v>22865.890000000003</v>
      </c>
      <c r="Q62" s="69">
        <f t="shared" si="2"/>
        <v>15022.090000000002</v>
      </c>
      <c r="R62" s="69">
        <f t="shared" si="2"/>
        <v>21734.38</v>
      </c>
      <c r="S62" s="69">
        <f t="shared" si="2"/>
        <v>16845.82</v>
      </c>
      <c r="T62" s="69">
        <f t="shared" si="2"/>
        <v>11523.77</v>
      </c>
      <c r="U62" s="69">
        <f t="shared" si="2"/>
        <v>9956.1299999999974</v>
      </c>
      <c r="V62" s="69">
        <f t="shared" si="2"/>
        <v>6701.69</v>
      </c>
      <c r="W62" s="69">
        <f t="shared" si="2"/>
        <v>1811.3</v>
      </c>
      <c r="X62" s="69">
        <f t="shared" si="2"/>
        <v>-5848.06</v>
      </c>
      <c r="Y62" s="69">
        <f t="shared" si="2"/>
        <v>12657.538</v>
      </c>
      <c r="Z62" s="69">
        <f t="shared" si="2"/>
        <v>13593.889999999998</v>
      </c>
      <c r="AA62" s="69">
        <f t="shared" si="2"/>
        <v>12230.24</v>
      </c>
      <c r="AB62" s="69">
        <f t="shared" si="2"/>
        <v>12159.99</v>
      </c>
      <c r="AC62" s="69">
        <f t="shared" si="2"/>
        <v>13298.24</v>
      </c>
      <c r="AD62" s="69">
        <f t="shared" si="2"/>
        <v>20236.09</v>
      </c>
      <c r="AE62" s="69">
        <f t="shared" si="2"/>
        <v>16671.730000000003</v>
      </c>
      <c r="AF62" s="69">
        <f t="shared" si="2"/>
        <v>22607.590000000004</v>
      </c>
      <c r="AG62" s="69">
        <f t="shared" si="2"/>
        <v>29461.780000000002</v>
      </c>
      <c r="AH62" s="69">
        <f t="shared" si="2"/>
        <v>39827.339999999997</v>
      </c>
      <c r="AI62" s="69">
        <f t="shared" si="2"/>
        <v>33092.379999999997</v>
      </c>
      <c r="AJ62" s="69">
        <f t="shared" si="2"/>
        <v>30682.649999999998</v>
      </c>
      <c r="AK62" s="69">
        <f t="shared" si="2"/>
        <v>20197.919999999998</v>
      </c>
      <c r="AL62" s="69">
        <f t="shared" si="2"/>
        <v>8502.8799999999992</v>
      </c>
      <c r="AM62" s="69">
        <f t="shared" si="2"/>
        <v>0</v>
      </c>
      <c r="AN62" s="70">
        <f>SUM(AN7:AN60)</f>
        <v>559459.351111111</v>
      </c>
      <c r="AO62" s="71"/>
      <c r="AP62" s="72"/>
    </row>
    <row r="63" spans="1:42" ht="15" x14ac:dyDescent="0.25">
      <c r="A63" s="73"/>
      <c r="B63" s="74"/>
      <c r="C63" s="74"/>
      <c r="D63" s="74"/>
      <c r="E63" s="74"/>
      <c r="F63" s="75"/>
      <c r="G63" s="75"/>
      <c r="H63" s="76"/>
      <c r="I63" s="77"/>
      <c r="J63" s="76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8"/>
      <c r="AO63" s="79"/>
      <c r="AP63" s="80"/>
    </row>
    <row r="64" spans="1:42" ht="15" x14ac:dyDescent="0.25">
      <c r="A64" s="81" t="s">
        <v>111</v>
      </c>
      <c r="B64" s="82" t="s">
        <v>4</v>
      </c>
      <c r="C64" s="81">
        <f t="shared" ref="C64:AL64" si="3">D64+1</f>
        <v>2012</v>
      </c>
      <c r="D64" s="81">
        <f t="shared" si="3"/>
        <v>2011</v>
      </c>
      <c r="E64" s="81">
        <f t="shared" si="3"/>
        <v>2010</v>
      </c>
      <c r="F64" s="81">
        <f t="shared" si="3"/>
        <v>2009</v>
      </c>
      <c r="G64" s="81">
        <f t="shared" si="3"/>
        <v>2008</v>
      </c>
      <c r="H64" s="81">
        <f t="shared" si="3"/>
        <v>2007</v>
      </c>
      <c r="I64" s="83">
        <f t="shared" si="3"/>
        <v>2006</v>
      </c>
      <c r="J64" s="83">
        <f t="shared" si="3"/>
        <v>2005</v>
      </c>
      <c r="K64" s="83">
        <f t="shared" si="3"/>
        <v>2004</v>
      </c>
      <c r="L64" s="83">
        <f t="shared" si="3"/>
        <v>2003</v>
      </c>
      <c r="M64" s="83">
        <f>N64+1</f>
        <v>2002</v>
      </c>
      <c r="N64" s="83">
        <f>O64+1</f>
        <v>2001</v>
      </c>
      <c r="O64" s="83">
        <f>P64+1</f>
        <v>2000</v>
      </c>
      <c r="P64" s="83">
        <f t="shared" si="3"/>
        <v>1999</v>
      </c>
      <c r="Q64" s="83">
        <f t="shared" si="3"/>
        <v>1998</v>
      </c>
      <c r="R64" s="83">
        <f t="shared" si="3"/>
        <v>1997</v>
      </c>
      <c r="S64" s="83">
        <f t="shared" si="3"/>
        <v>1996</v>
      </c>
      <c r="T64" s="83">
        <f t="shared" si="3"/>
        <v>1995</v>
      </c>
      <c r="U64" s="83">
        <f t="shared" si="3"/>
        <v>1994</v>
      </c>
      <c r="V64" s="83">
        <f t="shared" si="3"/>
        <v>1993</v>
      </c>
      <c r="W64" s="83">
        <f t="shared" si="3"/>
        <v>1992</v>
      </c>
      <c r="X64" s="83">
        <f t="shared" si="3"/>
        <v>1991</v>
      </c>
      <c r="Y64" s="83">
        <f t="shared" si="3"/>
        <v>1990</v>
      </c>
      <c r="Z64" s="83">
        <f t="shared" si="3"/>
        <v>1989</v>
      </c>
      <c r="AA64" s="83">
        <f t="shared" si="3"/>
        <v>1988</v>
      </c>
      <c r="AB64" s="83">
        <f t="shared" si="3"/>
        <v>1987</v>
      </c>
      <c r="AC64" s="83">
        <f t="shared" si="3"/>
        <v>1986</v>
      </c>
      <c r="AD64" s="83">
        <f t="shared" si="3"/>
        <v>1985</v>
      </c>
      <c r="AE64" s="83">
        <f t="shared" si="3"/>
        <v>1984</v>
      </c>
      <c r="AF64" s="83">
        <f t="shared" si="3"/>
        <v>1983</v>
      </c>
      <c r="AG64" s="83">
        <f t="shared" si="3"/>
        <v>1982</v>
      </c>
      <c r="AH64" s="83">
        <f t="shared" si="3"/>
        <v>1981</v>
      </c>
      <c r="AI64" s="83">
        <f t="shared" si="3"/>
        <v>1980</v>
      </c>
      <c r="AJ64" s="83">
        <f t="shared" si="3"/>
        <v>1979</v>
      </c>
      <c r="AK64" s="83">
        <f t="shared" si="3"/>
        <v>1978</v>
      </c>
      <c r="AL64" s="83">
        <f t="shared" si="3"/>
        <v>1977</v>
      </c>
      <c r="AM64" s="83">
        <v>1976</v>
      </c>
      <c r="AN64" s="84" t="s">
        <v>5</v>
      </c>
      <c r="AO64" s="85" t="s">
        <v>6</v>
      </c>
      <c r="AP64" s="86" t="s">
        <v>7</v>
      </c>
    </row>
    <row r="65" spans="1:42" ht="15" x14ac:dyDescent="0.25">
      <c r="A65" s="87" t="s">
        <v>112</v>
      </c>
      <c r="B65" s="87" t="s">
        <v>112</v>
      </c>
      <c r="C65" s="88"/>
      <c r="D65" s="88"/>
      <c r="E65" s="88"/>
      <c r="F65" s="88"/>
      <c r="G65" s="88"/>
      <c r="H65" s="88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90"/>
      <c r="AO65" s="91"/>
      <c r="AP65" s="92"/>
    </row>
    <row r="66" spans="1:42" x14ac:dyDescent="0.2">
      <c r="A66" s="93" t="s">
        <v>113</v>
      </c>
      <c r="B66" s="94" t="s">
        <v>11</v>
      </c>
      <c r="C66" s="95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6">
        <v>0</v>
      </c>
      <c r="L66" s="96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7">
        <v>0</v>
      </c>
      <c r="W66" s="97">
        <v>0</v>
      </c>
      <c r="X66" s="97">
        <v>0</v>
      </c>
      <c r="Y66" s="97">
        <v>0</v>
      </c>
      <c r="Z66" s="97">
        <v>0</v>
      </c>
      <c r="AA66" s="97">
        <v>3.56</v>
      </c>
      <c r="AB66" s="95" t="s">
        <v>11</v>
      </c>
      <c r="AC66" s="95" t="s">
        <v>11</v>
      </c>
      <c r="AD66" s="95" t="s">
        <v>11</v>
      </c>
      <c r="AE66" s="97" t="s">
        <v>114</v>
      </c>
      <c r="AF66" s="95" t="s">
        <v>11</v>
      </c>
      <c r="AG66" s="95" t="s">
        <v>11</v>
      </c>
      <c r="AH66" s="95" t="s">
        <v>11</v>
      </c>
      <c r="AI66" s="95" t="s">
        <v>11</v>
      </c>
      <c r="AJ66" s="95" t="s">
        <v>11</v>
      </c>
      <c r="AK66" s="95" t="s">
        <v>11</v>
      </c>
      <c r="AL66" s="95" t="s">
        <v>11</v>
      </c>
      <c r="AM66" s="95" t="s">
        <v>11</v>
      </c>
      <c r="AN66" s="98">
        <f t="shared" ref="AN66:AN86" si="4">SUM(C66:AM66)</f>
        <v>3.56</v>
      </c>
      <c r="AO66" s="99" t="s">
        <v>12</v>
      </c>
      <c r="AP66" s="100" t="s">
        <v>45</v>
      </c>
    </row>
    <row r="67" spans="1:42" x14ac:dyDescent="0.2">
      <c r="A67" s="93" t="s">
        <v>103</v>
      </c>
      <c r="B67" s="93" t="s">
        <v>115</v>
      </c>
      <c r="C67" s="101">
        <v>16.48</v>
      </c>
      <c r="D67" s="101">
        <v>239.88</v>
      </c>
      <c r="E67" s="101">
        <v>37.520000000000003</v>
      </c>
      <c r="F67" s="102">
        <v>62.51</v>
      </c>
      <c r="G67" s="101">
        <v>644.55000000000007</v>
      </c>
      <c r="H67" s="101">
        <v>932.65</v>
      </c>
      <c r="I67" s="97">
        <v>923.34</v>
      </c>
      <c r="J67" s="97">
        <v>1091.69</v>
      </c>
      <c r="K67" s="97">
        <v>819.32</v>
      </c>
      <c r="L67" s="97">
        <v>946.89</v>
      </c>
      <c r="M67" s="97">
        <v>607.44000000000005</v>
      </c>
      <c r="N67" s="97">
        <v>671.7</v>
      </c>
      <c r="O67" s="97">
        <v>1325.75</v>
      </c>
      <c r="P67" s="97">
        <v>1216.05</v>
      </c>
      <c r="Q67" s="97">
        <v>764.25</v>
      </c>
      <c r="R67" s="97">
        <v>530.22</v>
      </c>
      <c r="S67" s="97">
        <v>480.49</v>
      </c>
      <c r="T67" s="97">
        <v>1193.31</v>
      </c>
      <c r="U67" s="97">
        <v>1073.69</v>
      </c>
      <c r="V67" s="97">
        <v>1049.6400000000001</v>
      </c>
      <c r="W67" s="97">
        <v>771.26</v>
      </c>
      <c r="X67" s="97">
        <v>434.18</v>
      </c>
      <c r="Y67" s="97">
        <v>134.27000000000001</v>
      </c>
      <c r="Z67" s="97">
        <v>1.39</v>
      </c>
      <c r="AA67" s="97">
        <v>0</v>
      </c>
      <c r="AB67" s="97">
        <v>4.9400000000000004</v>
      </c>
      <c r="AC67" s="97">
        <v>7.36</v>
      </c>
      <c r="AD67" s="97">
        <v>6.01</v>
      </c>
      <c r="AE67" s="97">
        <v>6</v>
      </c>
      <c r="AF67" s="97">
        <v>6</v>
      </c>
      <c r="AG67" s="97">
        <v>5</v>
      </c>
      <c r="AH67" s="95" t="s">
        <v>11</v>
      </c>
      <c r="AI67" s="95" t="s">
        <v>11</v>
      </c>
      <c r="AJ67" s="95" t="s">
        <v>11</v>
      </c>
      <c r="AK67" s="95" t="s">
        <v>11</v>
      </c>
      <c r="AL67" s="95" t="s">
        <v>11</v>
      </c>
      <c r="AM67" s="95" t="s">
        <v>11</v>
      </c>
      <c r="AN67" s="98">
        <f t="shared" si="4"/>
        <v>16003.78</v>
      </c>
      <c r="AO67" s="99" t="s">
        <v>12</v>
      </c>
      <c r="AP67" s="100" t="s">
        <v>45</v>
      </c>
    </row>
    <row r="68" spans="1:42" x14ac:dyDescent="0.2">
      <c r="A68" s="93" t="s">
        <v>103</v>
      </c>
      <c r="B68" s="93" t="s">
        <v>116</v>
      </c>
      <c r="C68" s="101">
        <v>0</v>
      </c>
      <c r="D68" s="101">
        <v>0</v>
      </c>
      <c r="E68" s="101">
        <v>0</v>
      </c>
      <c r="F68" s="103">
        <v>0</v>
      </c>
      <c r="G68" s="101">
        <v>0</v>
      </c>
      <c r="H68" s="101">
        <v>0</v>
      </c>
      <c r="I68" s="97">
        <v>0.5</v>
      </c>
      <c r="J68" s="97">
        <v>0</v>
      </c>
      <c r="K68" s="96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>
        <v>0.5</v>
      </c>
      <c r="S68" s="97">
        <v>114.53</v>
      </c>
      <c r="T68" s="97">
        <v>187.3</v>
      </c>
      <c r="U68" s="97">
        <v>115.59</v>
      </c>
      <c r="V68" s="97">
        <v>126.83</v>
      </c>
      <c r="W68" s="97">
        <v>41.24</v>
      </c>
      <c r="X68" s="97">
        <v>33.26</v>
      </c>
      <c r="Y68" s="97">
        <v>329.28</v>
      </c>
      <c r="Z68" s="97">
        <v>157.99</v>
      </c>
      <c r="AA68" s="97">
        <v>78.709999999999994</v>
      </c>
      <c r="AB68" s="97">
        <v>14.81</v>
      </c>
      <c r="AC68" s="97">
        <v>7.08</v>
      </c>
      <c r="AD68" s="97">
        <v>43.95</v>
      </c>
      <c r="AE68" s="97">
        <v>70.05</v>
      </c>
      <c r="AF68" s="97">
        <v>58.02</v>
      </c>
      <c r="AG68" s="97">
        <v>6.19</v>
      </c>
      <c r="AH68" s="97">
        <v>6.11</v>
      </c>
      <c r="AI68" s="97">
        <v>2.89</v>
      </c>
      <c r="AJ68" s="97">
        <v>20.81</v>
      </c>
      <c r="AK68" s="95" t="s">
        <v>11</v>
      </c>
      <c r="AL68" s="95" t="s">
        <v>11</v>
      </c>
      <c r="AM68" s="95" t="s">
        <v>11</v>
      </c>
      <c r="AN68" s="98">
        <f t="shared" si="4"/>
        <v>1415.6399999999999</v>
      </c>
      <c r="AO68" s="99" t="s">
        <v>12</v>
      </c>
      <c r="AP68" s="100" t="s">
        <v>45</v>
      </c>
    </row>
    <row r="69" spans="1:42" x14ac:dyDescent="0.2">
      <c r="A69" s="93" t="s">
        <v>103</v>
      </c>
      <c r="B69" s="93" t="s">
        <v>117</v>
      </c>
      <c r="C69" s="101">
        <v>16.64</v>
      </c>
      <c r="D69" s="101">
        <v>93.87</v>
      </c>
      <c r="E69" s="101">
        <v>223.94</v>
      </c>
      <c r="F69" s="104">
        <v>251.90999999999997</v>
      </c>
      <c r="G69" s="101">
        <v>264.7</v>
      </c>
      <c r="H69" s="101">
        <v>285.43999999999994</v>
      </c>
      <c r="I69" s="97">
        <v>378.71</v>
      </c>
      <c r="J69" s="97">
        <v>295.91000000000003</v>
      </c>
      <c r="K69" s="97">
        <v>291.64</v>
      </c>
      <c r="L69" s="97">
        <v>283.39999999999998</v>
      </c>
      <c r="M69" s="97">
        <v>312.45</v>
      </c>
      <c r="N69" s="97">
        <v>307.22000000000003</v>
      </c>
      <c r="O69" s="97">
        <v>304.79000000000002</v>
      </c>
      <c r="P69" s="97">
        <v>295.89999999999998</v>
      </c>
      <c r="Q69" s="97">
        <v>250.58</v>
      </c>
      <c r="R69" s="97">
        <v>278.37</v>
      </c>
      <c r="S69" s="97">
        <v>173.06</v>
      </c>
      <c r="T69" s="97">
        <v>268.81</v>
      </c>
      <c r="U69" s="97">
        <v>289.66000000000003</v>
      </c>
      <c r="V69" s="97">
        <v>117.42</v>
      </c>
      <c r="W69" s="97">
        <v>85.56</v>
      </c>
      <c r="X69" s="95" t="s">
        <v>11</v>
      </c>
      <c r="Y69" s="95" t="s">
        <v>11</v>
      </c>
      <c r="Z69" s="95" t="s">
        <v>11</v>
      </c>
      <c r="AA69" s="95" t="s">
        <v>11</v>
      </c>
      <c r="AB69" s="95" t="s">
        <v>11</v>
      </c>
      <c r="AC69" s="95" t="s">
        <v>11</v>
      </c>
      <c r="AD69" s="95" t="s">
        <v>11</v>
      </c>
      <c r="AE69" s="95" t="s">
        <v>11</v>
      </c>
      <c r="AF69" s="95" t="s">
        <v>11</v>
      </c>
      <c r="AG69" s="95" t="s">
        <v>11</v>
      </c>
      <c r="AH69" s="95" t="s">
        <v>11</v>
      </c>
      <c r="AI69" s="95" t="s">
        <v>11</v>
      </c>
      <c r="AJ69" s="95" t="s">
        <v>11</v>
      </c>
      <c r="AK69" s="95" t="s">
        <v>11</v>
      </c>
      <c r="AL69" s="95" t="s">
        <v>11</v>
      </c>
      <c r="AM69" s="95" t="s">
        <v>11</v>
      </c>
      <c r="AN69" s="98">
        <f t="shared" si="4"/>
        <v>5069.9800000000014</v>
      </c>
      <c r="AO69" s="99" t="s">
        <v>12</v>
      </c>
      <c r="AP69" s="100" t="s">
        <v>45</v>
      </c>
    </row>
    <row r="70" spans="1:42" x14ac:dyDescent="0.2">
      <c r="A70" s="105" t="s">
        <v>118</v>
      </c>
      <c r="B70" s="105" t="s">
        <v>119</v>
      </c>
      <c r="C70" s="106">
        <v>0</v>
      </c>
      <c r="D70" s="106">
        <v>1</v>
      </c>
      <c r="E70" s="106">
        <v>0</v>
      </c>
      <c r="F70" s="106">
        <v>0.5</v>
      </c>
      <c r="G70" s="106">
        <v>58.69</v>
      </c>
      <c r="H70" s="106">
        <v>34.29</v>
      </c>
      <c r="I70" s="107">
        <v>93.48</v>
      </c>
      <c r="J70" s="107">
        <v>21.4</v>
      </c>
      <c r="K70" s="107">
        <v>41.29</v>
      </c>
      <c r="L70" s="107">
        <v>92.68</v>
      </c>
      <c r="M70" s="107">
        <v>214.08</v>
      </c>
      <c r="N70" s="107">
        <v>172.93</v>
      </c>
      <c r="O70" s="107">
        <v>119.38</v>
      </c>
      <c r="P70" s="107">
        <v>216.62</v>
      </c>
      <c r="Q70" s="107">
        <v>70.09</v>
      </c>
      <c r="R70" s="107">
        <v>47.97</v>
      </c>
      <c r="S70" s="107">
        <v>165.57</v>
      </c>
      <c r="T70" s="107">
        <v>118.04</v>
      </c>
      <c r="U70" s="107">
        <v>379.88</v>
      </c>
      <c r="V70" s="107">
        <v>78.28</v>
      </c>
      <c r="W70" s="107">
        <v>432.86</v>
      </c>
      <c r="X70" s="107">
        <v>468.1</v>
      </c>
      <c r="Y70" s="107">
        <v>287.68</v>
      </c>
      <c r="Z70" s="107">
        <v>401.04</v>
      </c>
      <c r="AA70" s="107">
        <v>462.08</v>
      </c>
      <c r="AB70" s="107">
        <v>696.29</v>
      </c>
      <c r="AC70" s="107">
        <v>735.13</v>
      </c>
      <c r="AD70" s="107">
        <v>515.87</v>
      </c>
      <c r="AE70" s="107">
        <v>562.87</v>
      </c>
      <c r="AF70" s="107">
        <v>612.28</v>
      </c>
      <c r="AG70" s="107">
        <v>357.77</v>
      </c>
      <c r="AH70" s="107">
        <v>316.04000000000002</v>
      </c>
      <c r="AI70" s="107">
        <v>137.07</v>
      </c>
      <c r="AJ70" s="107">
        <v>149.66999999999999</v>
      </c>
      <c r="AK70" s="108" t="s">
        <v>11</v>
      </c>
      <c r="AL70" s="108" t="s">
        <v>11</v>
      </c>
      <c r="AM70" s="108" t="s">
        <v>11</v>
      </c>
      <c r="AN70" s="109">
        <f t="shared" si="4"/>
        <v>8060.9199999999992</v>
      </c>
      <c r="AO70" s="110" t="s">
        <v>120</v>
      </c>
      <c r="AP70" s="111" t="s">
        <v>45</v>
      </c>
    </row>
    <row r="71" spans="1:42" x14ac:dyDescent="0.2">
      <c r="A71" s="105" t="s">
        <v>121</v>
      </c>
      <c r="B71" s="105" t="s">
        <v>122</v>
      </c>
      <c r="C71" s="106">
        <v>2</v>
      </c>
      <c r="D71" s="106">
        <v>2.5</v>
      </c>
      <c r="E71" s="106">
        <v>3.5</v>
      </c>
      <c r="F71" s="106">
        <v>3.5</v>
      </c>
      <c r="G71" s="106">
        <v>3</v>
      </c>
      <c r="H71" s="106">
        <v>7.4899999999999993</v>
      </c>
      <c r="I71" s="107">
        <v>17.93</v>
      </c>
      <c r="J71" s="107">
        <v>11.86</v>
      </c>
      <c r="K71" s="107">
        <v>14.26</v>
      </c>
      <c r="L71" s="107">
        <v>17.38</v>
      </c>
      <c r="M71" s="107">
        <v>9.7799999999999994</v>
      </c>
      <c r="N71" s="107">
        <v>12.53</v>
      </c>
      <c r="O71" s="107">
        <v>9.5500000000000007</v>
      </c>
      <c r="P71" s="107">
        <v>21.96</v>
      </c>
      <c r="Q71" s="107">
        <v>92.46</v>
      </c>
      <c r="R71" s="107">
        <v>102.98</v>
      </c>
      <c r="S71" s="107">
        <v>42.64</v>
      </c>
      <c r="T71" s="107">
        <v>66.62</v>
      </c>
      <c r="U71" s="107">
        <v>54.72</v>
      </c>
      <c r="V71" s="107">
        <v>67.489999999999995</v>
      </c>
      <c r="W71" s="107">
        <v>40.200000000000003</v>
      </c>
      <c r="X71" s="107">
        <v>80.19</v>
      </c>
      <c r="Y71" s="107">
        <v>84.27</v>
      </c>
      <c r="Z71" s="107">
        <v>72.489999999999995</v>
      </c>
      <c r="AA71" s="107">
        <v>87.9</v>
      </c>
      <c r="AB71" s="107">
        <v>73.42</v>
      </c>
      <c r="AC71" s="108" t="s">
        <v>11</v>
      </c>
      <c r="AD71" s="108" t="s">
        <v>11</v>
      </c>
      <c r="AE71" s="108" t="s">
        <v>11</v>
      </c>
      <c r="AF71" s="108" t="s">
        <v>11</v>
      </c>
      <c r="AG71" s="108" t="s">
        <v>11</v>
      </c>
      <c r="AH71" s="108" t="s">
        <v>11</v>
      </c>
      <c r="AI71" s="108" t="s">
        <v>11</v>
      </c>
      <c r="AJ71" s="108" t="s">
        <v>11</v>
      </c>
      <c r="AK71" s="108" t="s">
        <v>11</v>
      </c>
      <c r="AL71" s="108" t="s">
        <v>11</v>
      </c>
      <c r="AM71" s="108" t="s">
        <v>11</v>
      </c>
      <c r="AN71" s="109">
        <f t="shared" si="4"/>
        <v>1002.6199999999999</v>
      </c>
      <c r="AO71" s="110" t="s">
        <v>123</v>
      </c>
      <c r="AP71" s="111" t="s">
        <v>45</v>
      </c>
    </row>
    <row r="72" spans="1:42" x14ac:dyDescent="0.2">
      <c r="A72" s="105" t="s">
        <v>124</v>
      </c>
      <c r="B72" s="112" t="s">
        <v>11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7">
        <v>0</v>
      </c>
      <c r="L72" s="107">
        <v>0</v>
      </c>
      <c r="M72" s="107">
        <v>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07">
        <v>0</v>
      </c>
      <c r="W72" s="107">
        <v>0</v>
      </c>
      <c r="X72" s="107">
        <v>0</v>
      </c>
      <c r="Y72" s="107" t="s">
        <v>114</v>
      </c>
      <c r="Z72" s="107">
        <v>5</v>
      </c>
      <c r="AA72" s="107">
        <v>7.04</v>
      </c>
      <c r="AB72" s="107">
        <v>6.87</v>
      </c>
      <c r="AC72" s="107">
        <v>6</v>
      </c>
      <c r="AD72" s="107">
        <v>7</v>
      </c>
      <c r="AE72" s="107">
        <v>2.1800000000000002</v>
      </c>
      <c r="AF72" s="108" t="s">
        <v>11</v>
      </c>
      <c r="AG72" s="108" t="s">
        <v>11</v>
      </c>
      <c r="AH72" s="108" t="s">
        <v>11</v>
      </c>
      <c r="AI72" s="108" t="s">
        <v>11</v>
      </c>
      <c r="AJ72" s="108" t="s">
        <v>11</v>
      </c>
      <c r="AK72" s="108" t="s">
        <v>11</v>
      </c>
      <c r="AL72" s="108" t="s">
        <v>11</v>
      </c>
      <c r="AM72" s="108" t="s">
        <v>11</v>
      </c>
      <c r="AN72" s="109">
        <f t="shared" si="4"/>
        <v>34.090000000000003</v>
      </c>
      <c r="AO72" s="110" t="s">
        <v>123</v>
      </c>
      <c r="AP72" s="111" t="s">
        <v>45</v>
      </c>
    </row>
    <row r="73" spans="1:42" x14ac:dyDescent="0.2">
      <c r="A73" s="105" t="s">
        <v>125</v>
      </c>
      <c r="B73" s="112" t="s">
        <v>11</v>
      </c>
      <c r="C73" s="108">
        <v>0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7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4.51</v>
      </c>
      <c r="AB73" s="107">
        <v>0</v>
      </c>
      <c r="AC73" s="107">
        <v>0</v>
      </c>
      <c r="AD73" s="107">
        <v>3.08</v>
      </c>
      <c r="AE73" s="107">
        <v>3.41</v>
      </c>
      <c r="AF73" s="107">
        <v>2.2200000000000002</v>
      </c>
      <c r="AG73" s="107">
        <v>1.81</v>
      </c>
      <c r="AH73" s="107">
        <v>6.7</v>
      </c>
      <c r="AI73" s="107">
        <v>2.0499999999999998</v>
      </c>
      <c r="AJ73" s="107">
        <v>2.5</v>
      </c>
      <c r="AK73" s="108" t="s">
        <v>11</v>
      </c>
      <c r="AL73" s="108" t="s">
        <v>11</v>
      </c>
      <c r="AM73" s="108" t="s">
        <v>11</v>
      </c>
      <c r="AN73" s="109">
        <f t="shared" si="4"/>
        <v>26.28</v>
      </c>
      <c r="AO73" s="110" t="s">
        <v>123</v>
      </c>
      <c r="AP73" s="111" t="s">
        <v>45</v>
      </c>
    </row>
    <row r="74" spans="1:42" x14ac:dyDescent="0.2">
      <c r="A74" s="105" t="s">
        <v>126</v>
      </c>
      <c r="B74" s="105" t="s">
        <v>127</v>
      </c>
      <c r="C74" s="106">
        <v>1680.42</v>
      </c>
      <c r="D74" s="106">
        <v>1745.15</v>
      </c>
      <c r="E74" s="106">
        <v>1745.63</v>
      </c>
      <c r="F74" s="106">
        <v>1894.16</v>
      </c>
      <c r="G74" s="106">
        <v>1594.49</v>
      </c>
      <c r="H74" s="106">
        <v>2037</v>
      </c>
      <c r="I74" s="107">
        <v>2044.28</v>
      </c>
      <c r="J74" s="107">
        <v>1771.05</v>
      </c>
      <c r="K74" s="107">
        <v>1887.38</v>
      </c>
      <c r="L74" s="107">
        <v>2805.52</v>
      </c>
      <c r="M74" s="107">
        <v>2154.87</v>
      </c>
      <c r="N74" s="107">
        <v>2225.61</v>
      </c>
      <c r="O74" s="107">
        <v>2724.03</v>
      </c>
      <c r="P74" s="107">
        <v>1782.28</v>
      </c>
      <c r="Q74" s="107">
        <v>1736.62</v>
      </c>
      <c r="R74" s="107">
        <v>1357.28</v>
      </c>
      <c r="S74" s="107">
        <v>1674.71</v>
      </c>
      <c r="T74" s="107">
        <v>1170.6500000000001</v>
      </c>
      <c r="U74" s="107">
        <v>2102.67</v>
      </c>
      <c r="V74" s="107">
        <v>1345.42</v>
      </c>
      <c r="W74" s="108" t="s">
        <v>11</v>
      </c>
      <c r="X74" s="108" t="s">
        <v>11</v>
      </c>
      <c r="Y74" s="108" t="s">
        <v>11</v>
      </c>
      <c r="Z74" s="108" t="s">
        <v>11</v>
      </c>
      <c r="AA74" s="108" t="s">
        <v>11</v>
      </c>
      <c r="AB74" s="108" t="s">
        <v>11</v>
      </c>
      <c r="AC74" s="108" t="s">
        <v>11</v>
      </c>
      <c r="AD74" s="108" t="s">
        <v>11</v>
      </c>
      <c r="AE74" s="108" t="s">
        <v>11</v>
      </c>
      <c r="AF74" s="108" t="s">
        <v>11</v>
      </c>
      <c r="AG74" s="108" t="s">
        <v>11</v>
      </c>
      <c r="AH74" s="108" t="s">
        <v>11</v>
      </c>
      <c r="AI74" s="108" t="s">
        <v>11</v>
      </c>
      <c r="AJ74" s="108" t="s">
        <v>11</v>
      </c>
      <c r="AK74" s="108" t="s">
        <v>11</v>
      </c>
      <c r="AL74" s="108" t="s">
        <v>11</v>
      </c>
      <c r="AM74" s="108" t="s">
        <v>11</v>
      </c>
      <c r="AN74" s="109">
        <f t="shared" si="4"/>
        <v>37479.219999999994</v>
      </c>
      <c r="AO74" s="110" t="s">
        <v>12</v>
      </c>
      <c r="AP74" s="111" t="s">
        <v>45</v>
      </c>
    </row>
    <row r="75" spans="1:42" x14ac:dyDescent="0.2">
      <c r="A75" s="93" t="s">
        <v>128</v>
      </c>
      <c r="B75" s="93" t="s">
        <v>129</v>
      </c>
      <c r="C75" s="101">
        <v>2</v>
      </c>
      <c r="D75" s="101">
        <v>6</v>
      </c>
      <c r="E75" s="101">
        <v>6</v>
      </c>
      <c r="F75" s="102">
        <v>6</v>
      </c>
      <c r="G75" s="101">
        <v>6</v>
      </c>
      <c r="H75" s="101">
        <v>6</v>
      </c>
      <c r="I75" s="97">
        <v>6</v>
      </c>
      <c r="J75" s="97">
        <v>2.5</v>
      </c>
      <c r="K75" s="97">
        <v>6</v>
      </c>
      <c r="L75" s="97">
        <v>6</v>
      </c>
      <c r="M75" s="97">
        <v>6.05</v>
      </c>
      <c r="N75" s="97">
        <v>7.3</v>
      </c>
      <c r="O75" s="97">
        <v>6</v>
      </c>
      <c r="P75" s="97">
        <v>6.18</v>
      </c>
      <c r="Q75" s="97">
        <v>6</v>
      </c>
      <c r="R75" s="97">
        <v>7.97</v>
      </c>
      <c r="S75" s="97">
        <v>6.62</v>
      </c>
      <c r="T75" s="97">
        <v>8.64</v>
      </c>
      <c r="U75" s="97">
        <v>6.73</v>
      </c>
      <c r="V75" s="97">
        <v>6.44</v>
      </c>
      <c r="W75" s="97">
        <v>6.13</v>
      </c>
      <c r="X75" s="97">
        <v>6</v>
      </c>
      <c r="Y75" s="97">
        <v>6</v>
      </c>
      <c r="Z75" s="97">
        <v>6.1</v>
      </c>
      <c r="AA75" s="97">
        <v>6</v>
      </c>
      <c r="AB75" s="97">
        <v>6.28</v>
      </c>
      <c r="AC75" s="97">
        <v>6.15</v>
      </c>
      <c r="AD75" s="97">
        <v>6.3</v>
      </c>
      <c r="AE75" s="97">
        <v>6.37</v>
      </c>
      <c r="AF75" s="97">
        <v>6.11</v>
      </c>
      <c r="AG75" s="97">
        <v>6</v>
      </c>
      <c r="AH75" s="97">
        <v>6</v>
      </c>
      <c r="AI75" s="97">
        <v>0.6</v>
      </c>
      <c r="AJ75" s="95" t="s">
        <v>11</v>
      </c>
      <c r="AK75" s="95" t="s">
        <v>11</v>
      </c>
      <c r="AL75" s="95" t="s">
        <v>11</v>
      </c>
      <c r="AM75" s="95" t="s">
        <v>11</v>
      </c>
      <c r="AN75" s="98">
        <f t="shared" si="4"/>
        <v>194.47000000000003</v>
      </c>
      <c r="AO75" s="99" t="s">
        <v>130</v>
      </c>
      <c r="AP75" s="100" t="s">
        <v>45</v>
      </c>
    </row>
    <row r="76" spans="1:42" x14ac:dyDescent="0.2">
      <c r="A76" s="93" t="s">
        <v>131</v>
      </c>
      <c r="B76" s="93" t="s">
        <v>132</v>
      </c>
      <c r="C76" s="101">
        <v>186.99</v>
      </c>
      <c r="D76" s="101">
        <v>145.22999999999999</v>
      </c>
      <c r="E76" s="101">
        <v>1.22</v>
      </c>
      <c r="F76" s="102">
        <v>0</v>
      </c>
      <c r="G76" s="101">
        <v>168.85999999999999</v>
      </c>
      <c r="H76" s="101">
        <v>202.23000000000005</v>
      </c>
      <c r="I76" s="97">
        <v>193.24</v>
      </c>
      <c r="J76" s="97">
        <v>174.53</v>
      </c>
      <c r="K76" s="97">
        <v>18.010000000000002</v>
      </c>
      <c r="L76" s="97">
        <v>21.6</v>
      </c>
      <c r="M76" s="97">
        <v>22.07</v>
      </c>
      <c r="N76" s="97">
        <v>24.28</v>
      </c>
      <c r="O76" s="97">
        <v>22.55</v>
      </c>
      <c r="P76" s="97">
        <v>25.52</v>
      </c>
      <c r="Q76" s="97">
        <v>20.03</v>
      </c>
      <c r="R76" s="97">
        <v>36.67</v>
      </c>
      <c r="S76" s="97">
        <v>27.74</v>
      </c>
      <c r="T76" s="97">
        <v>45.06</v>
      </c>
      <c r="U76" s="97">
        <v>26.73</v>
      </c>
      <c r="V76" s="97">
        <v>52.59</v>
      </c>
      <c r="W76" s="97">
        <v>69.709999999999994</v>
      </c>
      <c r="X76" s="97">
        <v>63.69</v>
      </c>
      <c r="Y76" s="97">
        <v>111.03</v>
      </c>
      <c r="Z76" s="97">
        <v>184.86</v>
      </c>
      <c r="AA76" s="97">
        <v>78.69</v>
      </c>
      <c r="AB76" s="97">
        <v>185.26</v>
      </c>
      <c r="AC76" s="97">
        <v>63.2</v>
      </c>
      <c r="AD76" s="97">
        <v>17.649999999999999</v>
      </c>
      <c r="AE76" s="97">
        <v>6</v>
      </c>
      <c r="AF76" s="97">
        <v>14.44</v>
      </c>
      <c r="AG76" s="97">
        <v>45.03</v>
      </c>
      <c r="AH76" s="97">
        <v>4.37</v>
      </c>
      <c r="AI76" s="95" t="s">
        <v>11</v>
      </c>
      <c r="AJ76" s="95" t="s">
        <v>11</v>
      </c>
      <c r="AK76" s="95" t="s">
        <v>11</v>
      </c>
      <c r="AL76" s="95" t="s">
        <v>11</v>
      </c>
      <c r="AM76" s="95" t="s">
        <v>11</v>
      </c>
      <c r="AN76" s="98">
        <f t="shared" si="4"/>
        <v>2259.0800000000004</v>
      </c>
      <c r="AO76" s="99" t="s">
        <v>130</v>
      </c>
      <c r="AP76" s="100" t="s">
        <v>45</v>
      </c>
    </row>
    <row r="77" spans="1:42" x14ac:dyDescent="0.2">
      <c r="A77" s="93" t="s">
        <v>133</v>
      </c>
      <c r="B77" s="93" t="s">
        <v>134</v>
      </c>
      <c r="C77" s="101">
        <v>110.69</v>
      </c>
      <c r="D77" s="101">
        <v>113.04</v>
      </c>
      <c r="E77" s="101">
        <v>14.82</v>
      </c>
      <c r="F77" s="101">
        <v>14.52</v>
      </c>
      <c r="G77" s="101">
        <v>113.39999999999999</v>
      </c>
      <c r="H77" s="101">
        <v>205.22</v>
      </c>
      <c r="I77" s="97">
        <v>164.79</v>
      </c>
      <c r="J77" s="97">
        <v>56.3</v>
      </c>
      <c r="K77" s="97">
        <v>160.56</v>
      </c>
      <c r="L77" s="97">
        <v>26.45</v>
      </c>
      <c r="M77" s="97">
        <v>34.700000000000003</v>
      </c>
      <c r="N77" s="97">
        <v>19.21</v>
      </c>
      <c r="O77" s="97">
        <v>15.12</v>
      </c>
      <c r="P77" s="97">
        <v>62.65</v>
      </c>
      <c r="Q77" s="97">
        <v>90.68</v>
      </c>
      <c r="R77" s="97">
        <v>88.18</v>
      </c>
      <c r="S77" s="97">
        <v>127.69</v>
      </c>
      <c r="T77" s="97">
        <v>313.69</v>
      </c>
      <c r="U77" s="97">
        <v>174.08</v>
      </c>
      <c r="V77" s="97">
        <v>42.86</v>
      </c>
      <c r="W77" s="97">
        <v>24.07</v>
      </c>
      <c r="X77" s="97">
        <v>29.65</v>
      </c>
      <c r="Y77" s="97">
        <v>30.21</v>
      </c>
      <c r="Z77" s="97">
        <v>80.150000000000006</v>
      </c>
      <c r="AA77" s="97">
        <v>82.28</v>
      </c>
      <c r="AB77" s="97">
        <v>30.66</v>
      </c>
      <c r="AC77" s="97">
        <v>44.05</v>
      </c>
      <c r="AD77" s="97">
        <v>58.16</v>
      </c>
      <c r="AE77" s="97">
        <v>71.62</v>
      </c>
      <c r="AF77" s="97">
        <v>84.65</v>
      </c>
      <c r="AG77" s="97">
        <v>54.29</v>
      </c>
      <c r="AH77" s="97">
        <v>62.21</v>
      </c>
      <c r="AI77" s="95" t="s">
        <v>11</v>
      </c>
      <c r="AJ77" s="95" t="s">
        <v>11</v>
      </c>
      <c r="AK77" s="95" t="s">
        <v>11</v>
      </c>
      <c r="AL77" s="95" t="s">
        <v>11</v>
      </c>
      <c r="AM77" s="95" t="s">
        <v>11</v>
      </c>
      <c r="AN77" s="98">
        <f t="shared" si="4"/>
        <v>2600.65</v>
      </c>
      <c r="AO77" s="99" t="s">
        <v>130</v>
      </c>
      <c r="AP77" s="100" t="s">
        <v>45</v>
      </c>
    </row>
    <row r="78" spans="1:42" x14ac:dyDescent="0.2">
      <c r="A78" s="93" t="s">
        <v>135</v>
      </c>
      <c r="B78" s="93" t="s">
        <v>134</v>
      </c>
      <c r="C78" s="101">
        <v>1288.4100000000001</v>
      </c>
      <c r="D78" s="101">
        <v>1283.24</v>
      </c>
      <c r="E78" s="101">
        <v>1269.1199999999999</v>
      </c>
      <c r="F78" s="101">
        <v>1337.26</v>
      </c>
      <c r="G78" s="101">
        <v>1231.3799999999997</v>
      </c>
      <c r="H78" s="101">
        <v>1175.0400000000002</v>
      </c>
      <c r="I78" s="97">
        <v>1019.49</v>
      </c>
      <c r="J78" s="97">
        <v>1051.8699999999999</v>
      </c>
      <c r="K78" s="97">
        <v>1251.1400000000001</v>
      </c>
      <c r="L78" s="97">
        <v>1283.28</v>
      </c>
      <c r="M78" s="97">
        <v>1369.53</v>
      </c>
      <c r="N78" s="97">
        <v>1384.62</v>
      </c>
      <c r="O78" s="97">
        <v>1361.21</v>
      </c>
      <c r="P78" s="97">
        <v>1438.22</v>
      </c>
      <c r="Q78" s="97">
        <v>1345.07</v>
      </c>
      <c r="R78" s="97">
        <v>1335.68</v>
      </c>
      <c r="S78" s="97">
        <v>1316.24</v>
      </c>
      <c r="T78" s="97">
        <v>1226.9100000000001</v>
      </c>
      <c r="U78" s="97">
        <v>1399.27</v>
      </c>
      <c r="V78" s="97">
        <v>1516.67</v>
      </c>
      <c r="W78" s="97">
        <v>1309.94</v>
      </c>
      <c r="X78" s="97">
        <v>1389.71</v>
      </c>
      <c r="Y78" s="97">
        <v>1630.31</v>
      </c>
      <c r="Z78" s="97">
        <v>1467.44</v>
      </c>
      <c r="AA78" s="97">
        <v>1245.8900000000001</v>
      </c>
      <c r="AB78" s="97">
        <v>663.5</v>
      </c>
      <c r="AC78" s="97">
        <v>24.31</v>
      </c>
      <c r="AD78" s="95" t="s">
        <v>11</v>
      </c>
      <c r="AE78" s="95" t="s">
        <v>11</v>
      </c>
      <c r="AF78" s="95" t="s">
        <v>11</v>
      </c>
      <c r="AG78" s="95" t="s">
        <v>11</v>
      </c>
      <c r="AH78" s="95" t="s">
        <v>11</v>
      </c>
      <c r="AI78" s="95" t="s">
        <v>11</v>
      </c>
      <c r="AJ78" s="95" t="s">
        <v>11</v>
      </c>
      <c r="AK78" s="95" t="s">
        <v>11</v>
      </c>
      <c r="AL78" s="95" t="s">
        <v>11</v>
      </c>
      <c r="AM78" s="95" t="s">
        <v>11</v>
      </c>
      <c r="AN78" s="98">
        <f t="shared" si="4"/>
        <v>33614.75</v>
      </c>
      <c r="AO78" s="99" t="s">
        <v>136</v>
      </c>
      <c r="AP78" s="100" t="s">
        <v>45</v>
      </c>
    </row>
    <row r="79" spans="1:42" x14ac:dyDescent="0.2">
      <c r="A79" s="93" t="s">
        <v>137</v>
      </c>
      <c r="B79" s="93" t="s">
        <v>134</v>
      </c>
      <c r="C79" s="101">
        <v>1496.03</v>
      </c>
      <c r="D79" s="101">
        <v>1872.93</v>
      </c>
      <c r="E79" s="101">
        <v>1506.29</v>
      </c>
      <c r="F79" s="102">
        <v>1350.96</v>
      </c>
      <c r="G79" s="101">
        <v>1311.15</v>
      </c>
      <c r="H79" s="101">
        <v>1709.1299999999999</v>
      </c>
      <c r="I79" s="97">
        <v>1648.86</v>
      </c>
      <c r="J79" s="97">
        <v>1652.22</v>
      </c>
      <c r="K79" s="97">
        <v>1828.33</v>
      </c>
      <c r="L79" s="97">
        <v>1650.87</v>
      </c>
      <c r="M79" s="97">
        <v>1633.6</v>
      </c>
      <c r="N79" s="97">
        <v>1437.58</v>
      </c>
      <c r="O79" s="97">
        <v>1952.27</v>
      </c>
      <c r="P79" s="97">
        <v>1624.75</v>
      </c>
      <c r="Q79" s="97">
        <v>1398.52</v>
      </c>
      <c r="R79" s="97">
        <v>1731.36</v>
      </c>
      <c r="S79" s="97">
        <v>1403.5</v>
      </c>
      <c r="T79" s="97">
        <v>2809.39</v>
      </c>
      <c r="U79" s="97">
        <v>2120.31</v>
      </c>
      <c r="V79" s="97">
        <v>1211.0899999999999</v>
      </c>
      <c r="W79" s="97">
        <v>1084.4000000000001</v>
      </c>
      <c r="X79" s="97">
        <v>1260.54</v>
      </c>
      <c r="Y79" s="97">
        <v>865.03</v>
      </c>
      <c r="Z79" s="97">
        <v>682.49</v>
      </c>
      <c r="AA79" s="97">
        <v>734.52</v>
      </c>
      <c r="AB79" s="97">
        <v>678.42</v>
      </c>
      <c r="AC79" s="97">
        <v>604.70000000000005</v>
      </c>
      <c r="AD79" s="97">
        <v>651.48</v>
      </c>
      <c r="AE79" s="97">
        <v>1109.03</v>
      </c>
      <c r="AF79" s="97">
        <v>841.47</v>
      </c>
      <c r="AG79" s="97">
        <f>1038.69+0.14</f>
        <v>1038.8300000000002</v>
      </c>
      <c r="AH79" s="97">
        <f>530.31+884.26</f>
        <v>1414.57</v>
      </c>
      <c r="AI79" s="97">
        <v>935.07</v>
      </c>
      <c r="AJ79" s="95" t="s">
        <v>11</v>
      </c>
      <c r="AK79" s="95" t="s">
        <v>11</v>
      </c>
      <c r="AL79" s="95" t="s">
        <v>11</v>
      </c>
      <c r="AM79" s="95" t="s">
        <v>11</v>
      </c>
      <c r="AN79" s="98">
        <f t="shared" si="4"/>
        <v>45249.689999999995</v>
      </c>
      <c r="AO79" s="99" t="s">
        <v>130</v>
      </c>
      <c r="AP79" s="100" t="s">
        <v>45</v>
      </c>
    </row>
    <row r="80" spans="1:42" x14ac:dyDescent="0.2">
      <c r="A80" s="105" t="s">
        <v>138</v>
      </c>
      <c r="B80" s="105" t="s">
        <v>139</v>
      </c>
      <c r="C80" s="106">
        <v>193.47</v>
      </c>
      <c r="D80" s="106">
        <v>195.75</v>
      </c>
      <c r="E80" s="106">
        <v>197.36</v>
      </c>
      <c r="F80" s="113">
        <v>228.26999999999998</v>
      </c>
      <c r="G80" s="106">
        <v>385.45000000000005</v>
      </c>
      <c r="H80" s="106">
        <v>558.53000000000009</v>
      </c>
      <c r="I80" s="107">
        <v>525.72</v>
      </c>
      <c r="J80" s="107">
        <v>223.98</v>
      </c>
      <c r="K80" s="107">
        <v>349.47</v>
      </c>
      <c r="L80" s="107">
        <v>255.67</v>
      </c>
      <c r="M80" s="107">
        <v>254.91</v>
      </c>
      <c r="N80" s="107">
        <v>231.19</v>
      </c>
      <c r="O80" s="107">
        <v>328.44</v>
      </c>
      <c r="P80" s="107">
        <v>279.75</v>
      </c>
      <c r="Q80" s="107">
        <v>244.09</v>
      </c>
      <c r="R80" s="107">
        <v>297.02999999999997</v>
      </c>
      <c r="S80" s="107">
        <v>312.54000000000002</v>
      </c>
      <c r="T80" s="107">
        <v>569.37</v>
      </c>
      <c r="U80" s="107">
        <v>547.69000000000005</v>
      </c>
      <c r="V80" s="107">
        <v>305.14</v>
      </c>
      <c r="W80" s="107">
        <v>253.32</v>
      </c>
      <c r="X80" s="107">
        <v>273.55</v>
      </c>
      <c r="Y80" s="107">
        <v>263.89</v>
      </c>
      <c r="Z80" s="107">
        <v>358.18</v>
      </c>
      <c r="AA80" s="107">
        <v>262.14</v>
      </c>
      <c r="AB80" s="107">
        <v>253.19</v>
      </c>
      <c r="AC80" s="107">
        <v>363.92</v>
      </c>
      <c r="AD80" s="107">
        <v>367.54</v>
      </c>
      <c r="AE80" s="107">
        <v>267.77</v>
      </c>
      <c r="AF80" s="107">
        <v>282.77999999999997</v>
      </c>
      <c r="AG80" s="107">
        <v>238.85</v>
      </c>
      <c r="AH80" s="107">
        <v>190.33</v>
      </c>
      <c r="AI80" s="107">
        <v>115.79</v>
      </c>
      <c r="AJ80" s="108" t="s">
        <v>11</v>
      </c>
      <c r="AK80" s="108" t="s">
        <v>11</v>
      </c>
      <c r="AL80" s="108" t="s">
        <v>11</v>
      </c>
      <c r="AM80" s="108" t="s">
        <v>11</v>
      </c>
      <c r="AN80" s="109">
        <f t="shared" si="4"/>
        <v>9975.0700000000033</v>
      </c>
      <c r="AO80" s="110" t="s">
        <v>130</v>
      </c>
      <c r="AP80" s="111" t="s">
        <v>45</v>
      </c>
    </row>
    <row r="81" spans="1:42" x14ac:dyDescent="0.2">
      <c r="A81" s="105" t="s">
        <v>126</v>
      </c>
      <c r="B81" s="105" t="s">
        <v>140</v>
      </c>
      <c r="C81" s="114">
        <v>0</v>
      </c>
      <c r="D81" s="114">
        <v>0</v>
      </c>
      <c r="E81" s="106">
        <v>1.5</v>
      </c>
      <c r="F81" s="114">
        <v>0</v>
      </c>
      <c r="G81" s="106">
        <v>58.78</v>
      </c>
      <c r="H81" s="106">
        <v>117.09</v>
      </c>
      <c r="I81" s="107">
        <v>285.27999999999997</v>
      </c>
      <c r="J81" s="107">
        <v>166.34</v>
      </c>
      <c r="K81" s="107">
        <v>98.21</v>
      </c>
      <c r="L81" s="107">
        <v>183.2</v>
      </c>
      <c r="M81" s="107">
        <v>197.03</v>
      </c>
      <c r="N81" s="107">
        <v>297.36</v>
      </c>
      <c r="O81" s="107">
        <v>308.05</v>
      </c>
      <c r="P81" s="107">
        <v>358.14</v>
      </c>
      <c r="Q81" s="107">
        <v>282.72000000000003</v>
      </c>
      <c r="R81" s="107">
        <v>255.51</v>
      </c>
      <c r="S81" s="107">
        <v>45.46</v>
      </c>
      <c r="T81" s="115">
        <v>0</v>
      </c>
      <c r="U81" s="108" t="s">
        <v>11</v>
      </c>
      <c r="V81" s="108" t="s">
        <v>11</v>
      </c>
      <c r="W81" s="108" t="s">
        <v>11</v>
      </c>
      <c r="X81" s="108" t="s">
        <v>11</v>
      </c>
      <c r="Y81" s="108" t="s">
        <v>11</v>
      </c>
      <c r="Z81" s="108" t="s">
        <v>11</v>
      </c>
      <c r="AA81" s="108" t="s">
        <v>11</v>
      </c>
      <c r="AB81" s="108" t="s">
        <v>11</v>
      </c>
      <c r="AC81" s="108" t="s">
        <v>11</v>
      </c>
      <c r="AD81" s="108" t="s">
        <v>11</v>
      </c>
      <c r="AE81" s="108" t="s">
        <v>11</v>
      </c>
      <c r="AF81" s="108" t="s">
        <v>11</v>
      </c>
      <c r="AG81" s="108" t="s">
        <v>11</v>
      </c>
      <c r="AH81" s="108" t="s">
        <v>11</v>
      </c>
      <c r="AI81" s="108" t="s">
        <v>11</v>
      </c>
      <c r="AJ81" s="108" t="s">
        <v>11</v>
      </c>
      <c r="AK81" s="108" t="s">
        <v>11</v>
      </c>
      <c r="AL81" s="108" t="s">
        <v>11</v>
      </c>
      <c r="AM81" s="108" t="s">
        <v>11</v>
      </c>
      <c r="AN81" s="109">
        <f t="shared" si="4"/>
        <v>2654.67</v>
      </c>
      <c r="AO81" s="116" t="s">
        <v>141</v>
      </c>
      <c r="AP81" s="117" t="s">
        <v>45</v>
      </c>
    </row>
    <row r="82" spans="1:42" x14ac:dyDescent="0.2">
      <c r="A82" s="105" t="s">
        <v>142</v>
      </c>
      <c r="B82" s="105" t="s">
        <v>143</v>
      </c>
      <c r="C82" s="114"/>
      <c r="D82" s="114"/>
      <c r="E82" s="106"/>
      <c r="F82" s="114"/>
      <c r="G82" s="106"/>
      <c r="H82" s="106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15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9">
        <f t="shared" si="4"/>
        <v>0</v>
      </c>
      <c r="AO82" s="116"/>
      <c r="AP82" s="117"/>
    </row>
    <row r="83" spans="1:42" x14ac:dyDescent="0.2">
      <c r="A83" s="105" t="s">
        <v>144</v>
      </c>
      <c r="B83" s="105" t="s">
        <v>145</v>
      </c>
      <c r="C83" s="114"/>
      <c r="D83" s="114"/>
      <c r="E83" s="106"/>
      <c r="F83" s="114"/>
      <c r="G83" s="106"/>
      <c r="H83" s="106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15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9">
        <f t="shared" si="4"/>
        <v>0</v>
      </c>
      <c r="AO83" s="116"/>
      <c r="AP83" s="117"/>
    </row>
    <row r="84" spans="1:42" x14ac:dyDescent="0.2">
      <c r="A84" s="105" t="s">
        <v>146</v>
      </c>
      <c r="B84" s="105" t="s">
        <v>147</v>
      </c>
      <c r="C84" s="106">
        <v>1207.82</v>
      </c>
      <c r="D84" s="106">
        <v>1482.85</v>
      </c>
      <c r="E84" s="106">
        <v>1044.5</v>
      </c>
      <c r="F84" s="114">
        <v>681.18000000000006</v>
      </c>
      <c r="G84" s="106">
        <v>772.00000000000011</v>
      </c>
      <c r="H84" s="106">
        <v>1456.8900000000003</v>
      </c>
      <c r="I84" s="107">
        <v>1070.94</v>
      </c>
      <c r="J84" s="107">
        <v>637.11</v>
      </c>
      <c r="K84" s="107">
        <v>801.43</v>
      </c>
      <c r="L84" s="107">
        <v>479.19</v>
      </c>
      <c r="M84" s="107">
        <v>417.95</v>
      </c>
      <c r="N84" s="107">
        <v>317.05</v>
      </c>
      <c r="O84" s="107">
        <v>331.43</v>
      </c>
      <c r="P84" s="107">
        <v>163.06</v>
      </c>
      <c r="Q84" s="107">
        <v>342.28</v>
      </c>
      <c r="R84" s="107">
        <v>134.19999999999999</v>
      </c>
      <c r="S84" s="107">
        <v>1213.46</v>
      </c>
      <c r="T84" s="107">
        <v>843.84</v>
      </c>
      <c r="U84" s="107">
        <v>979.79</v>
      </c>
      <c r="V84" s="107">
        <v>835.25</v>
      </c>
      <c r="W84" s="107">
        <v>602.63</v>
      </c>
      <c r="X84" s="107">
        <v>380.73</v>
      </c>
      <c r="Y84" s="107">
        <v>177.53</v>
      </c>
      <c r="Z84" s="107">
        <v>190.37</v>
      </c>
      <c r="AA84" s="107">
        <v>157.35</v>
      </c>
      <c r="AB84" s="107">
        <v>75.069999999999993</v>
      </c>
      <c r="AC84" s="107">
        <v>52.06</v>
      </c>
      <c r="AD84" s="107">
        <v>258.98</v>
      </c>
      <c r="AE84" s="107">
        <v>898.16</v>
      </c>
      <c r="AF84" s="107">
        <v>897.22</v>
      </c>
      <c r="AG84" s="107">
        <f>1431.7+213.43</f>
        <v>1645.13</v>
      </c>
      <c r="AH84" s="107">
        <f>453.32+1433.2</f>
        <v>1886.52</v>
      </c>
      <c r="AI84" s="107">
        <v>990.4</v>
      </c>
      <c r="AJ84" s="108" t="s">
        <v>11</v>
      </c>
      <c r="AK84" s="108" t="s">
        <v>11</v>
      </c>
      <c r="AL84" s="108" t="s">
        <v>11</v>
      </c>
      <c r="AM84" s="108" t="s">
        <v>11</v>
      </c>
      <c r="AN84" s="109">
        <f t="shared" si="4"/>
        <v>23424.370000000006</v>
      </c>
      <c r="AO84" s="110" t="s">
        <v>148</v>
      </c>
      <c r="AP84" s="111" t="s">
        <v>45</v>
      </c>
    </row>
    <row r="85" spans="1:42" x14ac:dyDescent="0.2">
      <c r="A85" s="105" t="s">
        <v>149</v>
      </c>
      <c r="B85" s="105" t="s">
        <v>150</v>
      </c>
      <c r="C85" s="108" t="s">
        <v>11</v>
      </c>
      <c r="D85" s="108" t="s">
        <v>11</v>
      </c>
      <c r="E85" s="108" t="s">
        <v>11</v>
      </c>
      <c r="F85" s="108" t="s">
        <v>11</v>
      </c>
      <c r="G85" s="108" t="s">
        <v>11</v>
      </c>
      <c r="H85" s="108" t="s">
        <v>11</v>
      </c>
      <c r="I85" s="108" t="s">
        <v>11</v>
      </c>
      <c r="J85" s="108" t="s">
        <v>11</v>
      </c>
      <c r="K85" s="108" t="s">
        <v>11</v>
      </c>
      <c r="L85" s="108" t="s">
        <v>11</v>
      </c>
      <c r="M85" s="108" t="s">
        <v>11</v>
      </c>
      <c r="N85" s="108" t="s">
        <v>11</v>
      </c>
      <c r="O85" s="108" t="s">
        <v>11</v>
      </c>
      <c r="P85" s="108" t="s">
        <v>11</v>
      </c>
      <c r="Q85" s="108" t="s">
        <v>11</v>
      </c>
      <c r="R85" s="108" t="s">
        <v>11</v>
      </c>
      <c r="S85" s="108" t="s">
        <v>11</v>
      </c>
      <c r="T85" s="108" t="s">
        <v>11</v>
      </c>
      <c r="U85" s="108" t="s">
        <v>11</v>
      </c>
      <c r="V85" s="108" t="s">
        <v>11</v>
      </c>
      <c r="W85" s="108" t="s">
        <v>11</v>
      </c>
      <c r="X85" s="108" t="s">
        <v>11</v>
      </c>
      <c r="Y85" s="108" t="s">
        <v>11</v>
      </c>
      <c r="Z85" s="108" t="s">
        <v>11</v>
      </c>
      <c r="AA85" s="108" t="s">
        <v>11</v>
      </c>
      <c r="AB85" s="108" t="s">
        <v>11</v>
      </c>
      <c r="AC85" s="108" t="s">
        <v>11</v>
      </c>
      <c r="AD85" s="108" t="s">
        <v>11</v>
      </c>
      <c r="AE85" s="108" t="s">
        <v>11</v>
      </c>
      <c r="AF85" s="108" t="s">
        <v>11</v>
      </c>
      <c r="AG85" s="108" t="s">
        <v>11</v>
      </c>
      <c r="AH85" s="108" t="s">
        <v>11</v>
      </c>
      <c r="AI85" s="108" t="s">
        <v>11</v>
      </c>
      <c r="AJ85" s="108" t="s">
        <v>11</v>
      </c>
      <c r="AK85" s="108" t="s">
        <v>11</v>
      </c>
      <c r="AL85" s="108" t="s">
        <v>11</v>
      </c>
      <c r="AM85" s="108" t="s">
        <v>11</v>
      </c>
      <c r="AN85" s="109">
        <f t="shared" si="4"/>
        <v>0</v>
      </c>
      <c r="AO85" s="110" t="s">
        <v>130</v>
      </c>
      <c r="AP85" s="111" t="s">
        <v>45</v>
      </c>
    </row>
    <row r="86" spans="1:42" ht="15" thickBot="1" x14ac:dyDescent="0.25">
      <c r="A86" s="118"/>
      <c r="B86" s="118"/>
      <c r="C86" s="119"/>
      <c r="D86" s="119"/>
      <c r="E86" s="119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09">
        <f t="shared" si="4"/>
        <v>0</v>
      </c>
      <c r="AO86" s="121"/>
      <c r="AP86" s="122"/>
    </row>
    <row r="87" spans="1:42" ht="15.75" thickTop="1" x14ac:dyDescent="0.25">
      <c r="A87" s="123"/>
      <c r="B87" s="123" t="s">
        <v>110</v>
      </c>
      <c r="C87" s="123">
        <f>SUM(C66:C85)</f>
        <v>6200.95</v>
      </c>
      <c r="D87" s="123">
        <f>SUM(D66:D85)</f>
        <v>7181.4400000000005</v>
      </c>
      <c r="E87" s="123">
        <f t="shared" ref="E87:AM87" si="5">SUM(E66:E85)</f>
        <v>6051.4</v>
      </c>
      <c r="F87" s="123">
        <f t="shared" si="5"/>
        <v>5830.77</v>
      </c>
      <c r="G87" s="123">
        <f t="shared" si="5"/>
        <v>6612.45</v>
      </c>
      <c r="H87" s="123">
        <f t="shared" si="5"/>
        <v>8727</v>
      </c>
      <c r="I87" s="123">
        <f t="shared" si="5"/>
        <v>8372.56</v>
      </c>
      <c r="J87" s="123">
        <f t="shared" si="5"/>
        <v>7156.76</v>
      </c>
      <c r="K87" s="123">
        <f t="shared" si="5"/>
        <v>7567.0400000000009</v>
      </c>
      <c r="L87" s="123">
        <f t="shared" si="5"/>
        <v>8052.1299999999992</v>
      </c>
      <c r="M87" s="123">
        <f t="shared" si="5"/>
        <v>7234.4599999999991</v>
      </c>
      <c r="N87" s="123">
        <f t="shared" si="5"/>
        <v>7108.58</v>
      </c>
      <c r="O87" s="123">
        <f t="shared" si="5"/>
        <v>8808.57</v>
      </c>
      <c r="P87" s="123">
        <f t="shared" si="5"/>
        <v>7491.08</v>
      </c>
      <c r="Q87" s="123">
        <f t="shared" si="5"/>
        <v>6643.3899999999994</v>
      </c>
      <c r="R87" s="123">
        <f t="shared" si="5"/>
        <v>6203.9199999999992</v>
      </c>
      <c r="S87" s="123">
        <f t="shared" si="5"/>
        <v>7104.25</v>
      </c>
      <c r="T87" s="123">
        <f t="shared" si="5"/>
        <v>8821.6299999999992</v>
      </c>
      <c r="U87" s="123">
        <f t="shared" si="5"/>
        <v>9270.8100000000013</v>
      </c>
      <c r="V87" s="123">
        <f t="shared" si="5"/>
        <v>6755.1200000000008</v>
      </c>
      <c r="W87" s="123">
        <f t="shared" si="5"/>
        <v>4721.3200000000006</v>
      </c>
      <c r="X87" s="123">
        <f t="shared" si="5"/>
        <v>4419.6000000000004</v>
      </c>
      <c r="Y87" s="123">
        <f t="shared" si="5"/>
        <v>3919.5</v>
      </c>
      <c r="Z87" s="123">
        <f t="shared" si="5"/>
        <v>3607.4999999999995</v>
      </c>
      <c r="AA87" s="123">
        <f t="shared" si="5"/>
        <v>3210.6699999999996</v>
      </c>
      <c r="AB87" s="123">
        <f t="shared" si="5"/>
        <v>2688.71</v>
      </c>
      <c r="AC87" s="123">
        <f t="shared" si="5"/>
        <v>1913.96</v>
      </c>
      <c r="AD87" s="123">
        <f t="shared" si="5"/>
        <v>1936.02</v>
      </c>
      <c r="AE87" s="123">
        <f t="shared" si="5"/>
        <v>3003.4599999999996</v>
      </c>
      <c r="AF87" s="123">
        <f t="shared" si="5"/>
        <v>2805.19</v>
      </c>
      <c r="AG87" s="123">
        <f t="shared" si="5"/>
        <v>3398.9</v>
      </c>
      <c r="AH87" s="123">
        <f t="shared" si="5"/>
        <v>3892.85</v>
      </c>
      <c r="AI87" s="123">
        <f t="shared" si="5"/>
        <v>2183.87</v>
      </c>
      <c r="AJ87" s="123">
        <f t="shared" si="5"/>
        <v>172.98</v>
      </c>
      <c r="AK87" s="123">
        <f t="shared" si="5"/>
        <v>0</v>
      </c>
      <c r="AL87" s="123">
        <f t="shared" si="5"/>
        <v>0</v>
      </c>
      <c r="AM87" s="123">
        <f t="shared" si="5"/>
        <v>0</v>
      </c>
      <c r="AN87" s="124">
        <f>SUM(AN66:AN85)</f>
        <v>189068.84</v>
      </c>
      <c r="AO87" s="125"/>
      <c r="AP87" s="126"/>
    </row>
    <row r="88" spans="1:42" ht="15" x14ac:dyDescent="0.25">
      <c r="A88" s="127"/>
      <c r="B88" s="128"/>
      <c r="C88" s="128"/>
      <c r="D88" s="128"/>
      <c r="E88" s="128"/>
      <c r="F88" s="129"/>
      <c r="G88" s="130"/>
      <c r="H88" s="130"/>
      <c r="I88" s="131"/>
      <c r="J88" s="132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33"/>
      <c r="AO88" s="134"/>
      <c r="AP88" s="135"/>
    </row>
    <row r="89" spans="1:42" ht="15" x14ac:dyDescent="0.25">
      <c r="A89" s="25" t="s">
        <v>111</v>
      </c>
      <c r="B89" s="26" t="s">
        <v>4</v>
      </c>
      <c r="C89" s="25">
        <f t="shared" ref="C89:AL89" si="6">D89+1</f>
        <v>2012</v>
      </c>
      <c r="D89" s="25">
        <f t="shared" si="6"/>
        <v>2011</v>
      </c>
      <c r="E89" s="25">
        <f t="shared" si="6"/>
        <v>2010</v>
      </c>
      <c r="F89" s="25">
        <f t="shared" si="6"/>
        <v>2009</v>
      </c>
      <c r="G89" s="25">
        <f t="shared" si="6"/>
        <v>2008</v>
      </c>
      <c r="H89" s="25">
        <f t="shared" si="6"/>
        <v>2007</v>
      </c>
      <c r="I89" s="27">
        <f t="shared" si="6"/>
        <v>2006</v>
      </c>
      <c r="J89" s="27">
        <f t="shared" si="6"/>
        <v>2005</v>
      </c>
      <c r="K89" s="27">
        <f t="shared" si="6"/>
        <v>2004</v>
      </c>
      <c r="L89" s="27">
        <f t="shared" si="6"/>
        <v>2003</v>
      </c>
      <c r="M89" s="27">
        <f>N89+1</f>
        <v>2002</v>
      </c>
      <c r="N89" s="27">
        <f>O89+1</f>
        <v>2001</v>
      </c>
      <c r="O89" s="27">
        <f>P89+1</f>
        <v>2000</v>
      </c>
      <c r="P89" s="27">
        <f t="shared" si="6"/>
        <v>1999</v>
      </c>
      <c r="Q89" s="27">
        <f t="shared" si="6"/>
        <v>1998</v>
      </c>
      <c r="R89" s="27">
        <f t="shared" si="6"/>
        <v>1997</v>
      </c>
      <c r="S89" s="27">
        <f t="shared" si="6"/>
        <v>1996</v>
      </c>
      <c r="T89" s="27">
        <f t="shared" si="6"/>
        <v>1995</v>
      </c>
      <c r="U89" s="27">
        <f t="shared" si="6"/>
        <v>1994</v>
      </c>
      <c r="V89" s="27">
        <f t="shared" si="6"/>
        <v>1993</v>
      </c>
      <c r="W89" s="27">
        <f t="shared" si="6"/>
        <v>1992</v>
      </c>
      <c r="X89" s="27">
        <f t="shared" si="6"/>
        <v>1991</v>
      </c>
      <c r="Y89" s="27">
        <f t="shared" si="6"/>
        <v>1990</v>
      </c>
      <c r="Z89" s="27">
        <f t="shared" si="6"/>
        <v>1989</v>
      </c>
      <c r="AA89" s="27">
        <f t="shared" si="6"/>
        <v>1988</v>
      </c>
      <c r="AB89" s="27">
        <f t="shared" si="6"/>
        <v>1987</v>
      </c>
      <c r="AC89" s="27">
        <f t="shared" si="6"/>
        <v>1986</v>
      </c>
      <c r="AD89" s="27">
        <f t="shared" si="6"/>
        <v>1985</v>
      </c>
      <c r="AE89" s="27">
        <f t="shared" si="6"/>
        <v>1984</v>
      </c>
      <c r="AF89" s="27">
        <f t="shared" si="6"/>
        <v>1983</v>
      </c>
      <c r="AG89" s="27">
        <f t="shared" si="6"/>
        <v>1982</v>
      </c>
      <c r="AH89" s="27">
        <f t="shared" si="6"/>
        <v>1981</v>
      </c>
      <c r="AI89" s="27">
        <f t="shared" si="6"/>
        <v>1980</v>
      </c>
      <c r="AJ89" s="27">
        <f t="shared" si="6"/>
        <v>1979</v>
      </c>
      <c r="AK89" s="27">
        <f t="shared" si="6"/>
        <v>1978</v>
      </c>
      <c r="AL89" s="27">
        <f t="shared" si="6"/>
        <v>1977</v>
      </c>
      <c r="AM89" s="27">
        <v>1976</v>
      </c>
      <c r="AN89" s="28" t="s">
        <v>5</v>
      </c>
      <c r="AO89" s="29" t="s">
        <v>6</v>
      </c>
      <c r="AP89" s="30" t="s">
        <v>7</v>
      </c>
    </row>
    <row r="90" spans="1:42" ht="15" x14ac:dyDescent="0.25">
      <c r="A90" s="87" t="s">
        <v>151</v>
      </c>
      <c r="B90" s="87" t="s">
        <v>151</v>
      </c>
      <c r="C90" s="136"/>
      <c r="D90" s="136"/>
      <c r="E90" s="136"/>
      <c r="F90" s="136"/>
      <c r="G90" s="136"/>
      <c r="H90" s="136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8"/>
      <c r="AO90" s="139"/>
      <c r="AP90" s="140"/>
    </row>
    <row r="91" spans="1:42" x14ac:dyDescent="0.2">
      <c r="A91" s="93" t="s">
        <v>152</v>
      </c>
      <c r="B91" s="93" t="s">
        <v>153</v>
      </c>
      <c r="C91" s="101">
        <v>0</v>
      </c>
      <c r="D91" s="101">
        <v>0.5</v>
      </c>
      <c r="E91" s="101">
        <v>0</v>
      </c>
      <c r="F91" s="101">
        <v>0.5</v>
      </c>
      <c r="G91" s="101">
        <v>0</v>
      </c>
      <c r="H91" s="101">
        <v>67.930000000000007</v>
      </c>
      <c r="I91" s="97">
        <v>1.17</v>
      </c>
      <c r="J91" s="96">
        <v>0.5</v>
      </c>
      <c r="K91" s="97">
        <v>220.3</v>
      </c>
      <c r="L91" s="97">
        <v>240.98</v>
      </c>
      <c r="M91" s="97">
        <v>207.44</v>
      </c>
      <c r="N91" s="97">
        <v>0</v>
      </c>
      <c r="O91" s="97">
        <v>0</v>
      </c>
      <c r="P91" s="97">
        <v>0</v>
      </c>
      <c r="Q91" s="97">
        <v>0</v>
      </c>
      <c r="R91" s="97">
        <v>0</v>
      </c>
      <c r="S91" s="97">
        <v>5.12</v>
      </c>
      <c r="T91" s="97" t="s">
        <v>114</v>
      </c>
      <c r="U91" s="97" t="s">
        <v>114</v>
      </c>
      <c r="V91" s="97">
        <v>0</v>
      </c>
      <c r="W91" s="97">
        <v>1.82</v>
      </c>
      <c r="X91" s="97">
        <v>0</v>
      </c>
      <c r="Y91" s="97">
        <v>673.71</v>
      </c>
      <c r="Z91" s="97">
        <v>1328.66</v>
      </c>
      <c r="AA91" s="97">
        <v>627.15</v>
      </c>
      <c r="AB91" s="97">
        <v>358.67</v>
      </c>
      <c r="AC91" s="97">
        <v>235.26</v>
      </c>
      <c r="AD91" s="97">
        <v>140.27000000000001</v>
      </c>
      <c r="AE91" s="95" t="s">
        <v>11</v>
      </c>
      <c r="AF91" s="95" t="s">
        <v>11</v>
      </c>
      <c r="AG91" s="95" t="s">
        <v>11</v>
      </c>
      <c r="AH91" s="95" t="s">
        <v>11</v>
      </c>
      <c r="AI91" s="95" t="s">
        <v>11</v>
      </c>
      <c r="AJ91" s="95" t="s">
        <v>11</v>
      </c>
      <c r="AK91" s="95" t="s">
        <v>11</v>
      </c>
      <c r="AL91" s="95" t="s">
        <v>11</v>
      </c>
      <c r="AM91" s="95" t="s">
        <v>11</v>
      </c>
      <c r="AN91" s="98">
        <f t="shared" ref="AN91:AN149" si="7">SUM(C91:AM91)</f>
        <v>4109.9800000000005</v>
      </c>
      <c r="AO91" s="99" t="s">
        <v>12</v>
      </c>
      <c r="AP91" s="100" t="s">
        <v>13</v>
      </c>
    </row>
    <row r="92" spans="1:42" x14ac:dyDescent="0.2">
      <c r="A92" s="105" t="s">
        <v>154</v>
      </c>
      <c r="B92" s="105" t="s">
        <v>155</v>
      </c>
      <c r="C92" s="106">
        <v>5</v>
      </c>
      <c r="D92" s="106">
        <v>5.5</v>
      </c>
      <c r="E92" s="106">
        <v>6</v>
      </c>
      <c r="F92" s="141">
        <v>5.5</v>
      </c>
      <c r="G92" s="106">
        <v>6</v>
      </c>
      <c r="H92" s="106">
        <v>1</v>
      </c>
      <c r="I92" s="107">
        <v>3</v>
      </c>
      <c r="J92" s="107">
        <v>5</v>
      </c>
      <c r="K92" s="107">
        <v>6</v>
      </c>
      <c r="L92" s="107">
        <v>6</v>
      </c>
      <c r="M92" s="107">
        <v>6</v>
      </c>
      <c r="N92" s="107">
        <v>6.15</v>
      </c>
      <c r="O92" s="107">
        <v>6</v>
      </c>
      <c r="P92" s="107">
        <v>6.49</v>
      </c>
      <c r="Q92" s="107">
        <v>7.07</v>
      </c>
      <c r="R92" s="107">
        <v>6.88</v>
      </c>
      <c r="S92" s="107">
        <v>7.34</v>
      </c>
      <c r="T92" s="107">
        <v>6</v>
      </c>
      <c r="U92" s="107">
        <v>4.83</v>
      </c>
      <c r="V92" s="107">
        <v>0</v>
      </c>
      <c r="W92" s="107">
        <v>0.5</v>
      </c>
      <c r="X92" s="107">
        <v>6.74</v>
      </c>
      <c r="Y92" s="107">
        <v>6.39</v>
      </c>
      <c r="Z92" s="107">
        <v>13.9</v>
      </c>
      <c r="AA92" s="107">
        <v>8.61</v>
      </c>
      <c r="AB92" s="107">
        <v>4.03</v>
      </c>
      <c r="AC92" s="108" t="s">
        <v>11</v>
      </c>
      <c r="AD92" s="108" t="s">
        <v>11</v>
      </c>
      <c r="AE92" s="108" t="s">
        <v>11</v>
      </c>
      <c r="AF92" s="108" t="s">
        <v>11</v>
      </c>
      <c r="AG92" s="108" t="s">
        <v>11</v>
      </c>
      <c r="AH92" s="108" t="s">
        <v>11</v>
      </c>
      <c r="AI92" s="108" t="s">
        <v>11</v>
      </c>
      <c r="AJ92" s="108" t="s">
        <v>11</v>
      </c>
      <c r="AK92" s="108" t="s">
        <v>11</v>
      </c>
      <c r="AL92" s="108" t="s">
        <v>11</v>
      </c>
      <c r="AM92" s="108" t="s">
        <v>11</v>
      </c>
      <c r="AN92" s="109">
        <f t="shared" si="7"/>
        <v>145.92999999999998</v>
      </c>
      <c r="AO92" s="110" t="s">
        <v>12</v>
      </c>
      <c r="AP92" s="111" t="s">
        <v>13</v>
      </c>
    </row>
    <row r="93" spans="1:42" x14ac:dyDescent="0.2">
      <c r="A93" s="105" t="s">
        <v>156</v>
      </c>
      <c r="B93" s="105" t="s">
        <v>157</v>
      </c>
      <c r="C93" s="106">
        <v>5</v>
      </c>
      <c r="D93" s="106">
        <v>5</v>
      </c>
      <c r="E93" s="106">
        <v>5.5</v>
      </c>
      <c r="F93" s="141">
        <v>4.5</v>
      </c>
      <c r="G93" s="106">
        <v>24.33</v>
      </c>
      <c r="H93" s="106">
        <v>6</v>
      </c>
      <c r="I93" s="107">
        <v>6</v>
      </c>
      <c r="J93" s="107">
        <v>6</v>
      </c>
      <c r="K93" s="107">
        <v>6</v>
      </c>
      <c r="L93" s="107">
        <v>6</v>
      </c>
      <c r="M93" s="107">
        <v>6</v>
      </c>
      <c r="N93" s="107">
        <v>6</v>
      </c>
      <c r="O93" s="107">
        <v>6</v>
      </c>
      <c r="P93" s="107">
        <v>6</v>
      </c>
      <c r="Q93" s="107">
        <v>6</v>
      </c>
      <c r="R93" s="107">
        <v>6</v>
      </c>
      <c r="S93" s="107">
        <v>6</v>
      </c>
      <c r="T93" s="107">
        <v>6</v>
      </c>
      <c r="U93" s="107">
        <v>6</v>
      </c>
      <c r="V93" s="107">
        <v>6</v>
      </c>
      <c r="W93" s="107">
        <v>6</v>
      </c>
      <c r="X93" s="107">
        <v>6</v>
      </c>
      <c r="Y93" s="107">
        <v>6</v>
      </c>
      <c r="Z93" s="107">
        <v>6.17</v>
      </c>
      <c r="AA93" s="107">
        <v>6.17</v>
      </c>
      <c r="AB93" s="107">
        <v>6.35</v>
      </c>
      <c r="AC93" s="107">
        <v>6.36</v>
      </c>
      <c r="AD93" s="107">
        <v>6</v>
      </c>
      <c r="AE93" s="107">
        <v>6</v>
      </c>
      <c r="AF93" s="107">
        <v>6.23</v>
      </c>
      <c r="AG93" s="107">
        <v>9.25</v>
      </c>
      <c r="AH93" s="107">
        <v>4.29</v>
      </c>
      <c r="AI93" s="107">
        <v>1.25</v>
      </c>
      <c r="AJ93" s="108" t="s">
        <v>11</v>
      </c>
      <c r="AK93" s="108" t="s">
        <v>11</v>
      </c>
      <c r="AL93" s="108" t="s">
        <v>11</v>
      </c>
      <c r="AM93" s="108" t="s">
        <v>11</v>
      </c>
      <c r="AN93" s="109">
        <f t="shared" si="7"/>
        <v>210.39999999999995</v>
      </c>
      <c r="AO93" s="110" t="s">
        <v>12</v>
      </c>
      <c r="AP93" s="111" t="s">
        <v>13</v>
      </c>
    </row>
    <row r="94" spans="1:42" x14ac:dyDescent="0.2">
      <c r="A94" s="105" t="s">
        <v>158</v>
      </c>
      <c r="B94" s="105" t="s">
        <v>159</v>
      </c>
      <c r="C94" s="106">
        <v>23.92</v>
      </c>
      <c r="D94" s="106">
        <v>21.3</v>
      </c>
      <c r="E94" s="106">
        <v>21.71</v>
      </c>
      <c r="F94" s="106">
        <v>23.18</v>
      </c>
      <c r="G94" s="106">
        <v>26.330000000000002</v>
      </c>
      <c r="H94" s="106">
        <v>23.78</v>
      </c>
      <c r="I94" s="107">
        <v>22.309699999999999</v>
      </c>
      <c r="J94" s="107">
        <v>22.32</v>
      </c>
      <c r="K94" s="107">
        <v>31.77</v>
      </c>
      <c r="L94" s="107">
        <v>25.44</v>
      </c>
      <c r="M94" s="107">
        <v>24</v>
      </c>
      <c r="N94" s="107">
        <v>21.11</v>
      </c>
      <c r="O94" s="107">
        <v>18.84</v>
      </c>
      <c r="P94" s="107">
        <v>19.09</v>
      </c>
      <c r="Q94" s="107">
        <v>15.53</v>
      </c>
      <c r="R94" s="107">
        <v>16.739999999999998</v>
      </c>
      <c r="S94" s="107">
        <v>10.37</v>
      </c>
      <c r="T94" s="107">
        <v>8.39</v>
      </c>
      <c r="U94" s="107">
        <v>7.12</v>
      </c>
      <c r="V94" s="107">
        <v>6.33</v>
      </c>
      <c r="W94" s="107">
        <v>6.51</v>
      </c>
      <c r="X94" s="107">
        <v>6.25</v>
      </c>
      <c r="Y94" s="107">
        <v>11.55</v>
      </c>
      <c r="Z94" s="107">
        <v>11.87</v>
      </c>
      <c r="AA94" s="107">
        <v>8.27</v>
      </c>
      <c r="AB94" s="107">
        <v>10.89</v>
      </c>
      <c r="AC94" s="107">
        <v>7.5</v>
      </c>
      <c r="AD94" s="107">
        <v>3.78</v>
      </c>
      <c r="AE94" s="108" t="s">
        <v>11</v>
      </c>
      <c r="AF94" s="108" t="s">
        <v>11</v>
      </c>
      <c r="AG94" s="108" t="s">
        <v>11</v>
      </c>
      <c r="AH94" s="108" t="s">
        <v>11</v>
      </c>
      <c r="AI94" s="108" t="s">
        <v>11</v>
      </c>
      <c r="AJ94" s="108" t="s">
        <v>11</v>
      </c>
      <c r="AK94" s="108" t="s">
        <v>11</v>
      </c>
      <c r="AL94" s="108" t="s">
        <v>11</v>
      </c>
      <c r="AM94" s="108" t="s">
        <v>11</v>
      </c>
      <c r="AN94" s="109">
        <f t="shared" si="7"/>
        <v>456.19969999999989</v>
      </c>
      <c r="AO94" s="110" t="s">
        <v>12</v>
      </c>
      <c r="AP94" s="111" t="s">
        <v>13</v>
      </c>
    </row>
    <row r="95" spans="1:42" x14ac:dyDescent="0.2">
      <c r="A95" s="105" t="s">
        <v>160</v>
      </c>
      <c r="B95" s="105" t="s">
        <v>161</v>
      </c>
      <c r="C95" s="106">
        <v>0</v>
      </c>
      <c r="D95" s="106">
        <v>0</v>
      </c>
      <c r="E95" s="106">
        <v>0.5</v>
      </c>
      <c r="F95" s="106">
        <v>0</v>
      </c>
      <c r="G95" s="106">
        <v>0</v>
      </c>
      <c r="H95" s="107" t="s">
        <v>11</v>
      </c>
      <c r="I95" s="107" t="s">
        <v>11</v>
      </c>
      <c r="J95" s="107" t="s">
        <v>11</v>
      </c>
      <c r="K95" s="107" t="s">
        <v>11</v>
      </c>
      <c r="L95" s="107" t="s">
        <v>11</v>
      </c>
      <c r="M95" s="107" t="s">
        <v>11</v>
      </c>
      <c r="N95" s="107" t="s">
        <v>11</v>
      </c>
      <c r="O95" s="107" t="s">
        <v>11</v>
      </c>
      <c r="P95" s="107" t="s">
        <v>11</v>
      </c>
      <c r="Q95" s="107" t="s">
        <v>11</v>
      </c>
      <c r="R95" s="107" t="s">
        <v>11</v>
      </c>
      <c r="S95" s="107" t="s">
        <v>11</v>
      </c>
      <c r="T95" s="107" t="s">
        <v>11</v>
      </c>
      <c r="U95" s="107" t="s">
        <v>11</v>
      </c>
      <c r="V95" s="107" t="s">
        <v>11</v>
      </c>
      <c r="W95" s="107" t="s">
        <v>11</v>
      </c>
      <c r="X95" s="107" t="s">
        <v>11</v>
      </c>
      <c r="Y95" s="107" t="s">
        <v>11</v>
      </c>
      <c r="Z95" s="107" t="s">
        <v>11</v>
      </c>
      <c r="AA95" s="107" t="s">
        <v>11</v>
      </c>
      <c r="AB95" s="107" t="s">
        <v>11</v>
      </c>
      <c r="AC95" s="107" t="s">
        <v>11</v>
      </c>
      <c r="AD95" s="107" t="s">
        <v>11</v>
      </c>
      <c r="AE95" s="107" t="s">
        <v>11</v>
      </c>
      <c r="AF95" s="107" t="s">
        <v>11</v>
      </c>
      <c r="AG95" s="107" t="s">
        <v>11</v>
      </c>
      <c r="AH95" s="107" t="s">
        <v>11</v>
      </c>
      <c r="AI95" s="107" t="s">
        <v>11</v>
      </c>
      <c r="AJ95" s="107" t="s">
        <v>11</v>
      </c>
      <c r="AK95" s="107" t="s">
        <v>11</v>
      </c>
      <c r="AL95" s="107" t="s">
        <v>11</v>
      </c>
      <c r="AM95" s="107" t="s">
        <v>11</v>
      </c>
      <c r="AN95" s="109">
        <f t="shared" si="7"/>
        <v>0.5</v>
      </c>
      <c r="AO95" s="110" t="s">
        <v>12</v>
      </c>
      <c r="AP95" s="111" t="s">
        <v>13</v>
      </c>
    </row>
    <row r="96" spans="1:42" x14ac:dyDescent="0.2">
      <c r="A96" s="105" t="s">
        <v>162</v>
      </c>
      <c r="B96" s="105" t="s">
        <v>163</v>
      </c>
      <c r="C96" s="106">
        <v>12.66</v>
      </c>
      <c r="D96" s="106">
        <v>12.5</v>
      </c>
      <c r="E96" s="106">
        <v>14.61</v>
      </c>
      <c r="F96" s="106">
        <v>12.75</v>
      </c>
      <c r="G96" s="106">
        <v>9.33</v>
      </c>
      <c r="H96" s="106">
        <v>14.68</v>
      </c>
      <c r="I96" s="107">
        <v>16.64</v>
      </c>
      <c r="J96" s="107">
        <v>16.02</v>
      </c>
      <c r="K96" s="107">
        <v>11.87</v>
      </c>
      <c r="L96" s="107">
        <v>17.98</v>
      </c>
      <c r="M96" s="107">
        <v>17.510000000000002</v>
      </c>
      <c r="N96" s="107">
        <v>14.82</v>
      </c>
      <c r="O96" s="107">
        <v>15.65</v>
      </c>
      <c r="P96" s="107">
        <v>12.87</v>
      </c>
      <c r="Q96" s="107">
        <v>9.0399999999999991</v>
      </c>
      <c r="R96" s="107">
        <v>15.05</v>
      </c>
      <c r="S96" s="107">
        <v>17.25</v>
      </c>
      <c r="T96" s="107">
        <v>17.28</v>
      </c>
      <c r="U96" s="107">
        <v>23.29</v>
      </c>
      <c r="V96" s="107">
        <v>20.67</v>
      </c>
      <c r="W96" s="107">
        <v>10.38</v>
      </c>
      <c r="X96" s="107">
        <v>7.24</v>
      </c>
      <c r="Y96" s="107">
        <v>10.51</v>
      </c>
      <c r="Z96" s="107">
        <v>11.49</v>
      </c>
      <c r="AA96" s="107">
        <v>6.98</v>
      </c>
      <c r="AB96" s="107">
        <v>6.07</v>
      </c>
      <c r="AC96" s="107">
        <v>7.72</v>
      </c>
      <c r="AD96" s="107">
        <v>7.34</v>
      </c>
      <c r="AE96" s="108">
        <v>9.34</v>
      </c>
      <c r="AF96" s="108">
        <v>8</v>
      </c>
      <c r="AG96" s="108">
        <v>7</v>
      </c>
      <c r="AH96" s="108">
        <v>4.45</v>
      </c>
      <c r="AI96" s="108">
        <v>5</v>
      </c>
      <c r="AJ96" s="108">
        <v>0.1</v>
      </c>
      <c r="AK96" s="108" t="s">
        <v>11</v>
      </c>
      <c r="AL96" s="108" t="s">
        <v>11</v>
      </c>
      <c r="AM96" s="108" t="s">
        <v>11</v>
      </c>
      <c r="AN96" s="109">
        <f t="shared" si="7"/>
        <v>404.09000000000003</v>
      </c>
      <c r="AO96" s="110" t="s">
        <v>12</v>
      </c>
      <c r="AP96" s="111" t="s">
        <v>13</v>
      </c>
    </row>
    <row r="97" spans="1:42" x14ac:dyDescent="0.2">
      <c r="A97" s="93" t="s">
        <v>164</v>
      </c>
      <c r="B97" s="93" t="s">
        <v>165</v>
      </c>
      <c r="C97" s="101">
        <v>5.09</v>
      </c>
      <c r="D97" s="101">
        <v>8.31</v>
      </c>
      <c r="E97" s="101">
        <v>14.17</v>
      </c>
      <c r="F97" s="101">
        <v>9.2899999999999991</v>
      </c>
      <c r="G97" s="101">
        <v>10.06</v>
      </c>
      <c r="H97" s="101">
        <v>15.44</v>
      </c>
      <c r="I97" s="97">
        <v>12.72</v>
      </c>
      <c r="J97" s="97">
        <v>11.86</v>
      </c>
      <c r="K97" s="97">
        <v>13.8</v>
      </c>
      <c r="L97" s="97">
        <v>13.41</v>
      </c>
      <c r="M97" s="97">
        <v>14.6</v>
      </c>
      <c r="N97" s="97">
        <v>13.16</v>
      </c>
      <c r="O97" s="97">
        <v>13.62</v>
      </c>
      <c r="P97" s="97">
        <v>12.73</v>
      </c>
      <c r="Q97" s="97">
        <v>8.77</v>
      </c>
      <c r="R97" s="97">
        <v>6.9</v>
      </c>
      <c r="S97" s="97">
        <v>12.93</v>
      </c>
      <c r="T97" s="97">
        <v>8.32</v>
      </c>
      <c r="U97" s="95">
        <v>13.17</v>
      </c>
      <c r="V97" s="95">
        <v>6.65</v>
      </c>
      <c r="W97" s="95">
        <v>6.15</v>
      </c>
      <c r="X97" s="95">
        <v>6</v>
      </c>
      <c r="Y97" s="95">
        <v>6</v>
      </c>
      <c r="Z97" s="95">
        <v>7.06</v>
      </c>
      <c r="AA97" s="95">
        <v>6.33</v>
      </c>
      <c r="AB97" s="95">
        <v>6.03</v>
      </c>
      <c r="AC97" s="95">
        <v>7.46</v>
      </c>
      <c r="AD97" s="95">
        <v>2.5</v>
      </c>
      <c r="AE97" s="95" t="s">
        <v>11</v>
      </c>
      <c r="AF97" s="95" t="s">
        <v>11</v>
      </c>
      <c r="AG97" s="95" t="s">
        <v>11</v>
      </c>
      <c r="AH97" s="95" t="s">
        <v>11</v>
      </c>
      <c r="AI97" s="95" t="s">
        <v>11</v>
      </c>
      <c r="AJ97" s="95" t="s">
        <v>11</v>
      </c>
      <c r="AK97" s="95" t="s">
        <v>11</v>
      </c>
      <c r="AL97" s="95" t="s">
        <v>11</v>
      </c>
      <c r="AM97" s="95" t="s">
        <v>11</v>
      </c>
      <c r="AN97" s="98">
        <f t="shared" si="7"/>
        <v>272.52999999999997</v>
      </c>
      <c r="AO97" s="142" t="s">
        <v>141</v>
      </c>
      <c r="AP97" s="143" t="s">
        <v>13</v>
      </c>
    </row>
    <row r="98" spans="1:42" x14ac:dyDescent="0.2">
      <c r="A98" s="93" t="s">
        <v>166</v>
      </c>
      <c r="B98" s="93" t="s">
        <v>167</v>
      </c>
      <c r="C98" s="101">
        <v>45.96</v>
      </c>
      <c r="D98" s="101">
        <v>37.79</v>
      </c>
      <c r="E98" s="101">
        <v>32.229999999999997</v>
      </c>
      <c r="F98" s="101">
        <v>30.94</v>
      </c>
      <c r="G98" s="101">
        <v>32.92</v>
      </c>
      <c r="H98" s="101">
        <v>42.610000000000007</v>
      </c>
      <c r="I98" s="95">
        <v>41.06</v>
      </c>
      <c r="J98" s="95">
        <v>29.93</v>
      </c>
      <c r="K98" s="95">
        <v>40.130000000000003</v>
      </c>
      <c r="L98" s="95">
        <v>13.99</v>
      </c>
      <c r="M98" s="95">
        <v>8.73</v>
      </c>
      <c r="N98" s="95">
        <v>5.01</v>
      </c>
      <c r="O98" s="95">
        <v>0.08</v>
      </c>
      <c r="P98" s="95">
        <v>36.979999999999997</v>
      </c>
      <c r="Q98" s="95">
        <v>5.46</v>
      </c>
      <c r="R98" s="95">
        <v>28.52</v>
      </c>
      <c r="S98" s="95">
        <v>0.32</v>
      </c>
      <c r="T98" s="95">
        <v>16.07</v>
      </c>
      <c r="U98" s="95" t="s">
        <v>11</v>
      </c>
      <c r="V98" s="95" t="s">
        <v>11</v>
      </c>
      <c r="W98" s="95" t="s">
        <v>11</v>
      </c>
      <c r="X98" s="95" t="s">
        <v>11</v>
      </c>
      <c r="Y98" s="95" t="s">
        <v>11</v>
      </c>
      <c r="Z98" s="95" t="s">
        <v>11</v>
      </c>
      <c r="AA98" s="95" t="s">
        <v>11</v>
      </c>
      <c r="AB98" s="95" t="s">
        <v>11</v>
      </c>
      <c r="AC98" s="95" t="s">
        <v>11</v>
      </c>
      <c r="AD98" s="95" t="s">
        <v>11</v>
      </c>
      <c r="AE98" s="95" t="s">
        <v>11</v>
      </c>
      <c r="AF98" s="95" t="s">
        <v>11</v>
      </c>
      <c r="AG98" s="95" t="s">
        <v>11</v>
      </c>
      <c r="AH98" s="95" t="s">
        <v>11</v>
      </c>
      <c r="AI98" s="95" t="s">
        <v>11</v>
      </c>
      <c r="AJ98" s="95" t="s">
        <v>11</v>
      </c>
      <c r="AK98" s="95" t="s">
        <v>11</v>
      </c>
      <c r="AL98" s="95" t="s">
        <v>11</v>
      </c>
      <c r="AM98" s="95" t="s">
        <v>11</v>
      </c>
      <c r="AN98" s="98">
        <f t="shared" si="7"/>
        <v>448.72999999999996</v>
      </c>
      <c r="AO98" s="142" t="s">
        <v>141</v>
      </c>
      <c r="AP98" s="143" t="s">
        <v>13</v>
      </c>
    </row>
    <row r="99" spans="1:42" x14ac:dyDescent="0.2">
      <c r="A99" s="93" t="s">
        <v>168</v>
      </c>
      <c r="B99" s="93" t="s">
        <v>169</v>
      </c>
      <c r="C99" s="101">
        <v>0</v>
      </c>
      <c r="D99" s="101">
        <v>0</v>
      </c>
      <c r="E99" s="101">
        <v>1</v>
      </c>
      <c r="F99" s="101">
        <v>0</v>
      </c>
      <c r="G99" s="101">
        <v>0.5</v>
      </c>
      <c r="H99" s="101">
        <v>1</v>
      </c>
      <c r="I99" s="97" t="s">
        <v>11</v>
      </c>
      <c r="J99" s="97" t="s">
        <v>11</v>
      </c>
      <c r="K99" s="97" t="s">
        <v>11</v>
      </c>
      <c r="L99" s="97" t="s">
        <v>11</v>
      </c>
      <c r="M99" s="97" t="s">
        <v>11</v>
      </c>
      <c r="N99" s="97" t="s">
        <v>11</v>
      </c>
      <c r="O99" s="97" t="s">
        <v>11</v>
      </c>
      <c r="P99" s="97" t="s">
        <v>11</v>
      </c>
      <c r="Q99" s="97" t="s">
        <v>11</v>
      </c>
      <c r="R99" s="97" t="s">
        <v>11</v>
      </c>
      <c r="S99" s="97" t="s">
        <v>11</v>
      </c>
      <c r="T99" s="97" t="s">
        <v>11</v>
      </c>
      <c r="U99" s="97" t="s">
        <v>11</v>
      </c>
      <c r="V99" s="97" t="s">
        <v>11</v>
      </c>
      <c r="W99" s="97" t="s">
        <v>11</v>
      </c>
      <c r="X99" s="97" t="s">
        <v>11</v>
      </c>
      <c r="Y99" s="97" t="s">
        <v>11</v>
      </c>
      <c r="Z99" s="95" t="s">
        <v>11</v>
      </c>
      <c r="AA99" s="95" t="s">
        <v>11</v>
      </c>
      <c r="AB99" s="95" t="s">
        <v>11</v>
      </c>
      <c r="AC99" s="95" t="s">
        <v>11</v>
      </c>
      <c r="AD99" s="95" t="s">
        <v>11</v>
      </c>
      <c r="AE99" s="95" t="s">
        <v>11</v>
      </c>
      <c r="AF99" s="95" t="s">
        <v>11</v>
      </c>
      <c r="AG99" s="95" t="s">
        <v>11</v>
      </c>
      <c r="AH99" s="95" t="s">
        <v>11</v>
      </c>
      <c r="AI99" s="95" t="s">
        <v>11</v>
      </c>
      <c r="AJ99" s="95" t="s">
        <v>11</v>
      </c>
      <c r="AK99" s="95" t="s">
        <v>11</v>
      </c>
      <c r="AL99" s="95" t="s">
        <v>11</v>
      </c>
      <c r="AM99" s="95" t="s">
        <v>11</v>
      </c>
      <c r="AN99" s="98">
        <f t="shared" si="7"/>
        <v>2.5</v>
      </c>
      <c r="AO99" s="99" t="s">
        <v>141</v>
      </c>
      <c r="AP99" s="100" t="s">
        <v>13</v>
      </c>
    </row>
    <row r="100" spans="1:42" x14ac:dyDescent="0.2">
      <c r="A100" s="93" t="s">
        <v>170</v>
      </c>
      <c r="B100" s="93" t="s">
        <v>167</v>
      </c>
      <c r="C100" s="101">
        <v>5</v>
      </c>
      <c r="D100" s="101">
        <v>6</v>
      </c>
      <c r="E100" s="101">
        <v>4.5</v>
      </c>
      <c r="F100" s="101">
        <v>5.5</v>
      </c>
      <c r="G100" s="101">
        <v>5.5</v>
      </c>
      <c r="H100" s="101">
        <v>5.5</v>
      </c>
      <c r="I100" s="97">
        <v>11.06</v>
      </c>
      <c r="J100" s="97">
        <v>7.89</v>
      </c>
      <c r="K100" s="97">
        <v>8.5500000000000007</v>
      </c>
      <c r="L100" s="97">
        <v>7.98</v>
      </c>
      <c r="M100" s="97">
        <v>8.6999999999999993</v>
      </c>
      <c r="N100" s="97">
        <v>7.35</v>
      </c>
      <c r="O100" s="97">
        <v>6.7</v>
      </c>
      <c r="P100" s="97">
        <v>6.42</v>
      </c>
      <c r="Q100" s="97">
        <v>6.44</v>
      </c>
      <c r="R100" s="97">
        <v>6.29</v>
      </c>
      <c r="S100" s="97">
        <v>6.15</v>
      </c>
      <c r="T100" s="97">
        <v>6.6</v>
      </c>
      <c r="U100" s="97">
        <v>6</v>
      </c>
      <c r="V100" s="97">
        <v>6</v>
      </c>
      <c r="W100" s="97">
        <v>6</v>
      </c>
      <c r="X100" s="97">
        <v>6</v>
      </c>
      <c r="Y100" s="97">
        <v>4.5</v>
      </c>
      <c r="Z100" s="97" t="s">
        <v>11</v>
      </c>
      <c r="AA100" s="97" t="s">
        <v>11</v>
      </c>
      <c r="AB100" s="97" t="s">
        <v>11</v>
      </c>
      <c r="AC100" s="97" t="s">
        <v>11</v>
      </c>
      <c r="AD100" s="97" t="s">
        <v>11</v>
      </c>
      <c r="AE100" s="97" t="s">
        <v>11</v>
      </c>
      <c r="AF100" s="97" t="s">
        <v>11</v>
      </c>
      <c r="AG100" s="97" t="s">
        <v>11</v>
      </c>
      <c r="AH100" s="97" t="s">
        <v>11</v>
      </c>
      <c r="AI100" s="97" t="s">
        <v>11</v>
      </c>
      <c r="AJ100" s="97" t="s">
        <v>11</v>
      </c>
      <c r="AK100" s="95" t="s">
        <v>11</v>
      </c>
      <c r="AL100" s="95" t="s">
        <v>11</v>
      </c>
      <c r="AM100" s="95" t="s">
        <v>11</v>
      </c>
      <c r="AN100" s="98">
        <f t="shared" si="7"/>
        <v>150.63</v>
      </c>
      <c r="AO100" s="99" t="s">
        <v>141</v>
      </c>
      <c r="AP100" s="100" t="s">
        <v>13</v>
      </c>
    </row>
    <row r="101" spans="1:42" x14ac:dyDescent="0.2">
      <c r="A101" s="93" t="s">
        <v>171</v>
      </c>
      <c r="B101" s="93" t="s">
        <v>172</v>
      </c>
      <c r="C101" s="101">
        <v>6.09</v>
      </c>
      <c r="D101" s="101">
        <v>7.57</v>
      </c>
      <c r="E101" s="101">
        <v>6.73</v>
      </c>
      <c r="F101" s="101">
        <v>6</v>
      </c>
      <c r="G101" s="101">
        <v>5.5</v>
      </c>
      <c r="H101" s="101">
        <v>8.07</v>
      </c>
      <c r="I101" s="97">
        <v>7.58</v>
      </c>
      <c r="J101" s="97">
        <v>7.47</v>
      </c>
      <c r="K101" s="97">
        <v>7.68</v>
      </c>
      <c r="L101" s="97">
        <v>8.35</v>
      </c>
      <c r="M101" s="97">
        <v>8.3800000000000008</v>
      </c>
      <c r="N101" s="97">
        <v>7.81</v>
      </c>
      <c r="O101" s="97">
        <v>8.11</v>
      </c>
      <c r="P101" s="97">
        <v>8.8699999999999992</v>
      </c>
      <c r="Q101" s="97">
        <v>8.06</v>
      </c>
      <c r="R101" s="97">
        <v>8.75</v>
      </c>
      <c r="S101" s="97">
        <v>9.6</v>
      </c>
      <c r="T101" s="97">
        <v>9.0299999999999994</v>
      </c>
      <c r="U101" s="97">
        <v>11.08</v>
      </c>
      <c r="V101" s="97">
        <v>10.3</v>
      </c>
      <c r="W101" s="97">
        <v>11.47</v>
      </c>
      <c r="X101" s="97">
        <v>9.89</v>
      </c>
      <c r="Y101" s="97">
        <v>13.63</v>
      </c>
      <c r="Z101" s="97">
        <v>13.52</v>
      </c>
      <c r="AA101" s="97">
        <v>12.68</v>
      </c>
      <c r="AB101" s="97">
        <v>13.71</v>
      </c>
      <c r="AC101" s="97">
        <v>10.28</v>
      </c>
      <c r="AD101" s="97">
        <v>11.32</v>
      </c>
      <c r="AE101" s="97">
        <v>11.47</v>
      </c>
      <c r="AF101" s="97">
        <v>9.32</v>
      </c>
      <c r="AG101" s="97">
        <v>4.3900000000000006</v>
      </c>
      <c r="AH101" s="95">
        <v>2.88</v>
      </c>
      <c r="AI101" s="95">
        <v>2.2999999999999998</v>
      </c>
      <c r="AJ101" s="95">
        <v>3.07</v>
      </c>
      <c r="AK101" s="95" t="s">
        <v>11</v>
      </c>
      <c r="AL101" s="95" t="s">
        <v>11</v>
      </c>
      <c r="AM101" s="95" t="s">
        <v>11</v>
      </c>
      <c r="AN101" s="98">
        <f t="shared" si="7"/>
        <v>290.96000000000009</v>
      </c>
      <c r="AO101" s="99" t="s">
        <v>141</v>
      </c>
      <c r="AP101" s="100" t="s">
        <v>13</v>
      </c>
    </row>
    <row r="102" spans="1:42" x14ac:dyDescent="0.2">
      <c r="A102" s="105" t="s">
        <v>173</v>
      </c>
      <c r="B102" s="105" t="s">
        <v>172</v>
      </c>
      <c r="C102" s="106">
        <v>6.46</v>
      </c>
      <c r="D102" s="106">
        <v>6</v>
      </c>
      <c r="E102" s="106">
        <v>4.5</v>
      </c>
      <c r="F102" s="106">
        <v>8.7899999999999991</v>
      </c>
      <c r="G102" s="106">
        <v>5</v>
      </c>
      <c r="H102" s="107" t="s">
        <v>11</v>
      </c>
      <c r="I102" s="107" t="s">
        <v>11</v>
      </c>
      <c r="J102" s="107" t="s">
        <v>11</v>
      </c>
      <c r="K102" s="107" t="s">
        <v>11</v>
      </c>
      <c r="L102" s="107" t="s">
        <v>11</v>
      </c>
      <c r="M102" s="107" t="s">
        <v>11</v>
      </c>
      <c r="N102" s="107" t="s">
        <v>11</v>
      </c>
      <c r="O102" s="107" t="s">
        <v>11</v>
      </c>
      <c r="P102" s="107" t="s">
        <v>11</v>
      </c>
      <c r="Q102" s="107" t="s">
        <v>11</v>
      </c>
      <c r="R102" s="107" t="s">
        <v>11</v>
      </c>
      <c r="S102" s="107" t="s">
        <v>11</v>
      </c>
      <c r="T102" s="107" t="s">
        <v>11</v>
      </c>
      <c r="U102" s="107" t="s">
        <v>11</v>
      </c>
      <c r="V102" s="107" t="s">
        <v>11</v>
      </c>
      <c r="W102" s="107" t="s">
        <v>11</v>
      </c>
      <c r="X102" s="107" t="s">
        <v>11</v>
      </c>
      <c r="Y102" s="107" t="s">
        <v>11</v>
      </c>
      <c r="Z102" s="107" t="s">
        <v>11</v>
      </c>
      <c r="AA102" s="107" t="s">
        <v>11</v>
      </c>
      <c r="AB102" s="107" t="s">
        <v>11</v>
      </c>
      <c r="AC102" s="107" t="s">
        <v>11</v>
      </c>
      <c r="AD102" s="107" t="s">
        <v>11</v>
      </c>
      <c r="AE102" s="107" t="s">
        <v>11</v>
      </c>
      <c r="AF102" s="107" t="s">
        <v>11</v>
      </c>
      <c r="AG102" s="107" t="s">
        <v>11</v>
      </c>
      <c r="AH102" s="107" t="s">
        <v>11</v>
      </c>
      <c r="AI102" s="107" t="s">
        <v>11</v>
      </c>
      <c r="AJ102" s="107" t="s">
        <v>11</v>
      </c>
      <c r="AK102" s="107" t="s">
        <v>11</v>
      </c>
      <c r="AL102" s="107" t="s">
        <v>11</v>
      </c>
      <c r="AM102" s="107" t="s">
        <v>11</v>
      </c>
      <c r="AN102" s="109">
        <f t="shared" si="7"/>
        <v>30.75</v>
      </c>
      <c r="AO102" s="110" t="s">
        <v>141</v>
      </c>
      <c r="AP102" s="111" t="s">
        <v>13</v>
      </c>
    </row>
    <row r="103" spans="1:42" x14ac:dyDescent="0.2">
      <c r="A103" s="105" t="s">
        <v>174</v>
      </c>
      <c r="B103" s="105" t="s">
        <v>172</v>
      </c>
      <c r="C103" s="106">
        <v>5.56</v>
      </c>
      <c r="D103" s="106">
        <v>5.63</v>
      </c>
      <c r="E103" s="106">
        <v>6</v>
      </c>
      <c r="F103" s="106">
        <v>5.5</v>
      </c>
      <c r="G103" s="106">
        <v>5.5</v>
      </c>
      <c r="H103" s="106">
        <v>6</v>
      </c>
      <c r="I103" s="107">
        <v>6</v>
      </c>
      <c r="J103" s="107">
        <v>6</v>
      </c>
      <c r="K103" s="107">
        <v>6</v>
      </c>
      <c r="L103" s="107">
        <v>6</v>
      </c>
      <c r="M103" s="107">
        <v>6.05</v>
      </c>
      <c r="N103" s="107">
        <v>6</v>
      </c>
      <c r="O103" s="107">
        <v>6</v>
      </c>
      <c r="P103" s="107">
        <v>6.41</v>
      </c>
      <c r="Q103" s="107">
        <v>6</v>
      </c>
      <c r="R103" s="107">
        <v>6</v>
      </c>
      <c r="S103" s="107">
        <v>6</v>
      </c>
      <c r="T103" s="107">
        <v>6.32</v>
      </c>
      <c r="U103" s="107">
        <v>6.08</v>
      </c>
      <c r="V103" s="107">
        <v>6</v>
      </c>
      <c r="W103" s="107">
        <v>6.13</v>
      </c>
      <c r="X103" s="107">
        <v>6.08</v>
      </c>
      <c r="Y103" s="107">
        <v>6.52</v>
      </c>
      <c r="Z103" s="107">
        <v>6</v>
      </c>
      <c r="AA103" s="107">
        <v>6.37</v>
      </c>
      <c r="AB103" s="108">
        <v>6.34</v>
      </c>
      <c r="AC103" s="108">
        <v>6.53</v>
      </c>
      <c r="AD103" s="108">
        <v>7</v>
      </c>
      <c r="AE103" s="108">
        <v>6.37</v>
      </c>
      <c r="AF103" s="108">
        <v>6</v>
      </c>
      <c r="AG103" s="108">
        <v>3</v>
      </c>
      <c r="AH103" s="108" t="s">
        <v>11</v>
      </c>
      <c r="AI103" s="108" t="s">
        <v>11</v>
      </c>
      <c r="AJ103" s="108" t="s">
        <v>11</v>
      </c>
      <c r="AK103" s="108" t="s">
        <v>11</v>
      </c>
      <c r="AL103" s="108" t="s">
        <v>11</v>
      </c>
      <c r="AM103" s="108" t="s">
        <v>11</v>
      </c>
      <c r="AN103" s="109">
        <f t="shared" si="7"/>
        <v>185.39000000000001</v>
      </c>
      <c r="AO103" s="110" t="s">
        <v>141</v>
      </c>
      <c r="AP103" s="111" t="s">
        <v>13</v>
      </c>
    </row>
    <row r="104" spans="1:42" x14ac:dyDescent="0.2">
      <c r="A104" s="105" t="s">
        <v>175</v>
      </c>
      <c r="B104" s="105" t="s">
        <v>172</v>
      </c>
      <c r="C104" s="106">
        <v>5.5</v>
      </c>
      <c r="D104" s="106">
        <v>6</v>
      </c>
      <c r="E104" s="106">
        <v>5.5</v>
      </c>
      <c r="F104" s="106">
        <v>5.5</v>
      </c>
      <c r="G104" s="106">
        <v>5.5</v>
      </c>
      <c r="H104" s="106">
        <v>6</v>
      </c>
      <c r="I104" s="107">
        <v>6.58</v>
      </c>
      <c r="J104" s="107">
        <v>6.02</v>
      </c>
      <c r="K104" s="107">
        <v>6</v>
      </c>
      <c r="L104" s="107">
        <v>6</v>
      </c>
      <c r="M104" s="107">
        <v>6</v>
      </c>
      <c r="N104" s="107">
        <v>6</v>
      </c>
      <c r="O104" s="107">
        <v>6</v>
      </c>
      <c r="P104" s="107">
        <v>6.18</v>
      </c>
      <c r="Q104" s="107">
        <v>6.26</v>
      </c>
      <c r="R104" s="107">
        <v>6</v>
      </c>
      <c r="S104" s="107">
        <v>6</v>
      </c>
      <c r="T104" s="107">
        <v>3.5</v>
      </c>
      <c r="U104" s="107">
        <v>0.5</v>
      </c>
      <c r="V104" s="107">
        <v>6</v>
      </c>
      <c r="W104" s="107">
        <v>6.07</v>
      </c>
      <c r="X104" s="107">
        <v>6</v>
      </c>
      <c r="Y104" s="107">
        <v>3</v>
      </c>
      <c r="Z104" s="107">
        <v>2.78</v>
      </c>
      <c r="AA104" s="107">
        <v>3</v>
      </c>
      <c r="AB104" s="108">
        <v>2.74</v>
      </c>
      <c r="AC104" s="108">
        <v>3.08</v>
      </c>
      <c r="AD104" s="108">
        <v>3.16</v>
      </c>
      <c r="AE104" s="108">
        <v>3</v>
      </c>
      <c r="AF104" s="108">
        <v>2</v>
      </c>
      <c r="AG104" s="108" t="s">
        <v>11</v>
      </c>
      <c r="AH104" s="108" t="s">
        <v>11</v>
      </c>
      <c r="AI104" s="108" t="s">
        <v>11</v>
      </c>
      <c r="AJ104" s="108" t="s">
        <v>11</v>
      </c>
      <c r="AK104" s="108" t="s">
        <v>11</v>
      </c>
      <c r="AL104" s="108" t="s">
        <v>11</v>
      </c>
      <c r="AM104" s="108" t="s">
        <v>11</v>
      </c>
      <c r="AN104" s="109">
        <f t="shared" si="7"/>
        <v>145.87000000000003</v>
      </c>
      <c r="AO104" s="110" t="s">
        <v>141</v>
      </c>
      <c r="AP104" s="111" t="s">
        <v>13</v>
      </c>
    </row>
    <row r="105" spans="1:42" x14ac:dyDescent="0.2">
      <c r="A105" s="105" t="s">
        <v>176</v>
      </c>
      <c r="B105" s="105" t="s">
        <v>177</v>
      </c>
      <c r="C105" s="106">
        <v>11.89</v>
      </c>
      <c r="D105" s="106">
        <v>12.99</v>
      </c>
      <c r="E105" s="106">
        <v>11.99</v>
      </c>
      <c r="F105" s="106">
        <v>13.059999999999999</v>
      </c>
      <c r="G105" s="106">
        <v>13.47</v>
      </c>
      <c r="H105" s="106">
        <v>17.22</v>
      </c>
      <c r="I105" s="107">
        <v>15.24</v>
      </c>
      <c r="J105" s="107">
        <v>13.14</v>
      </c>
      <c r="K105" s="107">
        <v>12.64</v>
      </c>
      <c r="L105" s="107">
        <v>8.02</v>
      </c>
      <c r="M105" s="107">
        <v>14.75</v>
      </c>
      <c r="N105" s="107">
        <v>14.21</v>
      </c>
      <c r="O105" s="107">
        <v>8.67</v>
      </c>
      <c r="P105" s="107">
        <v>6.5</v>
      </c>
      <c r="Q105" s="107">
        <v>6.26</v>
      </c>
      <c r="R105" s="107">
        <v>6.41</v>
      </c>
      <c r="S105" s="107">
        <v>6</v>
      </c>
      <c r="T105" s="107">
        <v>8.08</v>
      </c>
      <c r="U105" s="107">
        <v>6.49</v>
      </c>
      <c r="V105" s="107">
        <v>7.15</v>
      </c>
      <c r="W105" s="107">
        <v>8.02</v>
      </c>
      <c r="X105" s="107">
        <v>3.5</v>
      </c>
      <c r="Y105" s="107">
        <v>0</v>
      </c>
      <c r="Z105" s="107" t="s">
        <v>114</v>
      </c>
      <c r="AA105" s="107">
        <v>0</v>
      </c>
      <c r="AB105" s="108" t="s">
        <v>11</v>
      </c>
      <c r="AC105" s="108" t="s">
        <v>11</v>
      </c>
      <c r="AD105" s="108" t="s">
        <v>11</v>
      </c>
      <c r="AE105" s="108" t="s">
        <v>11</v>
      </c>
      <c r="AF105" s="108" t="s">
        <v>11</v>
      </c>
      <c r="AG105" s="108" t="s">
        <v>11</v>
      </c>
      <c r="AH105" s="108" t="s">
        <v>11</v>
      </c>
      <c r="AI105" s="108" t="s">
        <v>11</v>
      </c>
      <c r="AJ105" s="108" t="s">
        <v>11</v>
      </c>
      <c r="AK105" s="108" t="s">
        <v>11</v>
      </c>
      <c r="AL105" s="108" t="s">
        <v>11</v>
      </c>
      <c r="AM105" s="108" t="s">
        <v>11</v>
      </c>
      <c r="AN105" s="109">
        <f t="shared" si="7"/>
        <v>225.70000000000002</v>
      </c>
      <c r="AO105" s="110" t="s">
        <v>141</v>
      </c>
      <c r="AP105" s="111" t="s">
        <v>13</v>
      </c>
    </row>
    <row r="106" spans="1:42" x14ac:dyDescent="0.2">
      <c r="A106" s="105" t="s">
        <v>178</v>
      </c>
      <c r="B106" s="105" t="s">
        <v>179</v>
      </c>
      <c r="C106" s="106">
        <v>8.26</v>
      </c>
      <c r="D106" s="106">
        <v>11.43</v>
      </c>
      <c r="E106" s="106">
        <v>8.09</v>
      </c>
      <c r="F106" s="106">
        <v>6.43</v>
      </c>
      <c r="G106" s="106">
        <v>10.250000000000002</v>
      </c>
      <c r="H106" s="106">
        <v>8.1600000000000019</v>
      </c>
      <c r="I106" s="107">
        <v>6.65</v>
      </c>
      <c r="J106" s="107">
        <v>5.75</v>
      </c>
      <c r="K106" s="107">
        <v>13.16</v>
      </c>
      <c r="L106" s="107">
        <v>11.17</v>
      </c>
      <c r="M106" s="107">
        <v>10.34</v>
      </c>
      <c r="N106" s="107">
        <v>14.53</v>
      </c>
      <c r="O106" s="107">
        <v>12.21</v>
      </c>
      <c r="P106" s="107">
        <v>10.24</v>
      </c>
      <c r="Q106" s="107">
        <v>9.6999999999999993</v>
      </c>
      <c r="R106" s="107">
        <v>13.56</v>
      </c>
      <c r="S106" s="107">
        <v>10.029999999999999</v>
      </c>
      <c r="T106" s="107">
        <v>6.75</v>
      </c>
      <c r="U106" s="107">
        <v>6.16</v>
      </c>
      <c r="V106" s="107">
        <v>8.58</v>
      </c>
      <c r="W106" s="107">
        <v>7.14</v>
      </c>
      <c r="X106" s="107">
        <v>7.15</v>
      </c>
      <c r="Y106" s="107">
        <v>6.73</v>
      </c>
      <c r="Z106" s="107">
        <v>1.5</v>
      </c>
      <c r="AA106" s="107">
        <v>0</v>
      </c>
      <c r="AB106" s="107" t="s">
        <v>11</v>
      </c>
      <c r="AC106" s="107" t="s">
        <v>11</v>
      </c>
      <c r="AD106" s="107" t="s">
        <v>11</v>
      </c>
      <c r="AE106" s="107" t="s">
        <v>11</v>
      </c>
      <c r="AF106" s="107" t="s">
        <v>11</v>
      </c>
      <c r="AG106" s="107" t="s">
        <v>11</v>
      </c>
      <c r="AH106" s="107" t="s">
        <v>11</v>
      </c>
      <c r="AI106" s="107" t="s">
        <v>11</v>
      </c>
      <c r="AJ106" s="107" t="s">
        <v>11</v>
      </c>
      <c r="AK106" s="108" t="s">
        <v>11</v>
      </c>
      <c r="AL106" s="108" t="s">
        <v>11</v>
      </c>
      <c r="AM106" s="108" t="s">
        <v>11</v>
      </c>
      <c r="AN106" s="109">
        <f t="shared" si="7"/>
        <v>213.97</v>
      </c>
      <c r="AO106" s="110" t="s">
        <v>141</v>
      </c>
      <c r="AP106" s="111" t="s">
        <v>13</v>
      </c>
    </row>
    <row r="107" spans="1:42" x14ac:dyDescent="0.2">
      <c r="A107" s="93" t="s">
        <v>180</v>
      </c>
      <c r="B107" s="93" t="s">
        <v>181</v>
      </c>
      <c r="C107" s="101">
        <v>8.8000000000000007</v>
      </c>
      <c r="D107" s="101">
        <v>8.57</v>
      </c>
      <c r="E107" s="101">
        <v>7.23</v>
      </c>
      <c r="F107" s="101">
        <v>9.1</v>
      </c>
      <c r="G107" s="101">
        <v>7.8999999999999995</v>
      </c>
      <c r="H107" s="101">
        <v>14.119999999999997</v>
      </c>
      <c r="I107" s="97">
        <v>9.27</v>
      </c>
      <c r="J107" s="97">
        <v>11</v>
      </c>
      <c r="K107" s="97">
        <v>10.35</v>
      </c>
      <c r="L107" s="97">
        <v>9.89</v>
      </c>
      <c r="M107" s="97">
        <v>13.42</v>
      </c>
      <c r="N107" s="97">
        <v>14</v>
      </c>
      <c r="O107" s="97">
        <v>13.6</v>
      </c>
      <c r="P107" s="97">
        <v>13.23</v>
      </c>
      <c r="Q107" s="97">
        <v>6.6</v>
      </c>
      <c r="R107" s="97">
        <v>6.62</v>
      </c>
      <c r="S107" s="97">
        <v>6.76</v>
      </c>
      <c r="T107" s="97">
        <v>9.6300000000000008</v>
      </c>
      <c r="U107" s="97">
        <v>11.09</v>
      </c>
      <c r="V107" s="97">
        <v>10.73</v>
      </c>
      <c r="W107" s="97">
        <v>10.35</v>
      </c>
      <c r="X107" s="97">
        <v>9.1300000000000008</v>
      </c>
      <c r="Y107" s="97">
        <v>11.71</v>
      </c>
      <c r="Z107" s="97">
        <v>10.95</v>
      </c>
      <c r="AA107" s="97">
        <v>2.4700000000000002</v>
      </c>
      <c r="AB107" s="97" t="s">
        <v>11</v>
      </c>
      <c r="AC107" s="97" t="s">
        <v>11</v>
      </c>
      <c r="AD107" s="97" t="s">
        <v>11</v>
      </c>
      <c r="AE107" s="95" t="s">
        <v>11</v>
      </c>
      <c r="AF107" s="95" t="s">
        <v>11</v>
      </c>
      <c r="AG107" s="95" t="s">
        <v>11</v>
      </c>
      <c r="AH107" s="95" t="s">
        <v>11</v>
      </c>
      <c r="AI107" s="95" t="s">
        <v>11</v>
      </c>
      <c r="AJ107" s="95" t="s">
        <v>11</v>
      </c>
      <c r="AK107" s="95" t="s">
        <v>11</v>
      </c>
      <c r="AL107" s="95" t="s">
        <v>11</v>
      </c>
      <c r="AM107" s="95" t="s">
        <v>11</v>
      </c>
      <c r="AN107" s="98">
        <f t="shared" si="7"/>
        <v>246.51999999999995</v>
      </c>
      <c r="AO107" s="99" t="s">
        <v>141</v>
      </c>
      <c r="AP107" s="100" t="s">
        <v>13</v>
      </c>
    </row>
    <row r="108" spans="1:42" x14ac:dyDescent="0.2">
      <c r="A108" s="93" t="s">
        <v>182</v>
      </c>
      <c r="B108" s="93" t="s">
        <v>183</v>
      </c>
      <c r="C108" s="101">
        <v>7.63</v>
      </c>
      <c r="D108" s="101">
        <v>7.51</v>
      </c>
      <c r="E108" s="101">
        <v>7.76</v>
      </c>
      <c r="F108" s="101">
        <v>7.4499999999999993</v>
      </c>
      <c r="G108" s="101">
        <v>9.58</v>
      </c>
      <c r="H108" s="101">
        <v>9.5</v>
      </c>
      <c r="I108" s="97">
        <v>12.05</v>
      </c>
      <c r="J108" s="97">
        <v>19.940000000000001</v>
      </c>
      <c r="K108" s="97">
        <v>6.6</v>
      </c>
      <c r="L108" s="97">
        <v>6.2</v>
      </c>
      <c r="M108" s="97">
        <v>7.41</v>
      </c>
      <c r="N108" s="97">
        <v>5.5</v>
      </c>
      <c r="O108" s="97">
        <v>5</v>
      </c>
      <c r="P108" s="97">
        <v>3</v>
      </c>
      <c r="Q108" s="97">
        <v>0</v>
      </c>
      <c r="R108" s="97">
        <v>0</v>
      </c>
      <c r="S108" s="97">
        <v>0</v>
      </c>
      <c r="T108" s="97" t="s">
        <v>114</v>
      </c>
      <c r="U108" s="97" t="s">
        <v>114</v>
      </c>
      <c r="V108" s="97">
        <v>0</v>
      </c>
      <c r="W108" s="97">
        <v>4</v>
      </c>
      <c r="X108" s="97">
        <v>6</v>
      </c>
      <c r="Y108" s="97">
        <v>9.85</v>
      </c>
      <c r="Z108" s="97">
        <v>34.9</v>
      </c>
      <c r="AA108" s="97">
        <v>9.33</v>
      </c>
      <c r="AB108" s="97">
        <v>6</v>
      </c>
      <c r="AC108" s="97">
        <v>3</v>
      </c>
      <c r="AD108" s="97">
        <v>4</v>
      </c>
      <c r="AE108" s="97">
        <v>7.33</v>
      </c>
      <c r="AF108" s="97">
        <v>6</v>
      </c>
      <c r="AG108" s="97">
        <v>7.42</v>
      </c>
      <c r="AH108" s="97">
        <v>15.73</v>
      </c>
      <c r="AI108" s="97">
        <v>1.7</v>
      </c>
      <c r="AJ108" s="97">
        <v>1.8</v>
      </c>
      <c r="AK108" s="97" t="s">
        <v>11</v>
      </c>
      <c r="AL108" s="95" t="s">
        <v>11</v>
      </c>
      <c r="AM108" s="95" t="s">
        <v>11</v>
      </c>
      <c r="AN108" s="98">
        <f t="shared" si="7"/>
        <v>232.19</v>
      </c>
      <c r="AO108" s="99" t="s">
        <v>141</v>
      </c>
      <c r="AP108" s="100" t="s">
        <v>13</v>
      </c>
    </row>
    <row r="109" spans="1:42" x14ac:dyDescent="0.2">
      <c r="A109" s="93" t="s">
        <v>184</v>
      </c>
      <c r="B109" s="94" t="s">
        <v>183</v>
      </c>
      <c r="C109" s="104">
        <v>14.53</v>
      </c>
      <c r="D109" s="104">
        <v>11.1</v>
      </c>
      <c r="E109" s="104">
        <v>8.52</v>
      </c>
      <c r="F109" s="101">
        <v>9.76</v>
      </c>
      <c r="G109" s="101">
        <v>7.5900000000000007</v>
      </c>
      <c r="H109" s="95">
        <v>9.66</v>
      </c>
      <c r="I109" s="95">
        <v>20.54</v>
      </c>
      <c r="J109" s="95">
        <v>15.08</v>
      </c>
      <c r="K109" s="97">
        <v>10.59</v>
      </c>
      <c r="L109" s="97">
        <v>16.45</v>
      </c>
      <c r="M109" s="97">
        <v>15.5</v>
      </c>
      <c r="N109" s="97">
        <v>14.25</v>
      </c>
      <c r="O109" s="97">
        <v>11.76</v>
      </c>
      <c r="P109" s="97">
        <v>13.28</v>
      </c>
      <c r="Q109" s="97">
        <v>10.43</v>
      </c>
      <c r="R109" s="97">
        <v>11.54</v>
      </c>
      <c r="S109" s="97">
        <v>12.36</v>
      </c>
      <c r="T109" s="97">
        <v>11.21</v>
      </c>
      <c r="U109" s="97">
        <v>11.96</v>
      </c>
      <c r="V109" s="97">
        <v>8.7899999999999991</v>
      </c>
      <c r="W109" s="97">
        <v>7.7</v>
      </c>
      <c r="X109" s="97">
        <v>7.11</v>
      </c>
      <c r="Y109" s="97">
        <v>7.92</v>
      </c>
      <c r="Z109" s="97">
        <v>8.39</v>
      </c>
      <c r="AA109" s="97">
        <v>9.68</v>
      </c>
      <c r="AB109" s="97">
        <v>7.72</v>
      </c>
      <c r="AC109" s="97">
        <v>7.96</v>
      </c>
      <c r="AD109" s="97">
        <v>4.5</v>
      </c>
      <c r="AE109" s="95" t="s">
        <v>11</v>
      </c>
      <c r="AF109" s="95" t="s">
        <v>11</v>
      </c>
      <c r="AG109" s="95" t="s">
        <v>11</v>
      </c>
      <c r="AH109" s="95" t="s">
        <v>11</v>
      </c>
      <c r="AI109" s="95" t="s">
        <v>11</v>
      </c>
      <c r="AJ109" s="95" t="s">
        <v>11</v>
      </c>
      <c r="AK109" s="95" t="s">
        <v>11</v>
      </c>
      <c r="AL109" s="95" t="s">
        <v>11</v>
      </c>
      <c r="AM109" s="95" t="s">
        <v>11</v>
      </c>
      <c r="AN109" s="98">
        <f t="shared" si="7"/>
        <v>305.88</v>
      </c>
      <c r="AO109" s="99" t="s">
        <v>141</v>
      </c>
      <c r="AP109" s="100" t="s">
        <v>13</v>
      </c>
    </row>
    <row r="110" spans="1:42" x14ac:dyDescent="0.2">
      <c r="A110" s="93" t="s">
        <v>185</v>
      </c>
      <c r="B110" s="93" t="s">
        <v>186</v>
      </c>
      <c r="C110" s="101">
        <v>106.22</v>
      </c>
      <c r="D110" s="101">
        <v>105.017</v>
      </c>
      <c r="E110" s="101">
        <v>160.94999999999999</v>
      </c>
      <c r="F110" s="101">
        <v>200.82</v>
      </c>
      <c r="G110" s="101">
        <v>240.66</v>
      </c>
      <c r="H110" s="101">
        <v>349.84</v>
      </c>
      <c r="I110" s="97">
        <v>345.9</v>
      </c>
      <c r="J110" s="97">
        <v>303.32</v>
      </c>
      <c r="K110" s="97">
        <v>312.52999999999997</v>
      </c>
      <c r="L110" s="97">
        <v>217.35</v>
      </c>
      <c r="M110" s="97">
        <v>233.8</v>
      </c>
      <c r="N110" s="97">
        <v>200.18</v>
      </c>
      <c r="O110" s="97">
        <v>229.42</v>
      </c>
      <c r="P110" s="97">
        <v>236.04</v>
      </c>
      <c r="Q110" s="97">
        <v>187.26</v>
      </c>
      <c r="R110" s="97">
        <v>230.85</v>
      </c>
      <c r="S110" s="97">
        <v>200.36</v>
      </c>
      <c r="T110" s="97">
        <v>171.17</v>
      </c>
      <c r="U110" s="97">
        <v>171.42</v>
      </c>
      <c r="V110" s="97">
        <v>176.01</v>
      </c>
      <c r="W110" s="97">
        <v>206.72</v>
      </c>
      <c r="X110" s="97">
        <v>180.78</v>
      </c>
      <c r="Y110" s="97">
        <v>237.66</v>
      </c>
      <c r="Z110" s="95">
        <v>240.94</v>
      </c>
      <c r="AA110" s="95">
        <v>187.88</v>
      </c>
      <c r="AB110" s="95">
        <v>141.84</v>
      </c>
      <c r="AC110" s="95">
        <v>118.82</v>
      </c>
      <c r="AD110" s="95">
        <v>69.52</v>
      </c>
      <c r="AE110" s="95">
        <v>53.85</v>
      </c>
      <c r="AF110" s="95">
        <v>41.09</v>
      </c>
      <c r="AG110" s="95">
        <v>29.2</v>
      </c>
      <c r="AH110" s="95">
        <v>42.73</v>
      </c>
      <c r="AI110" s="95">
        <v>80.260000000000005</v>
      </c>
      <c r="AJ110" s="95">
        <v>118.85</v>
      </c>
      <c r="AK110" s="95">
        <v>90.47</v>
      </c>
      <c r="AL110" s="95" t="s">
        <v>11</v>
      </c>
      <c r="AM110" s="95" t="s">
        <v>11</v>
      </c>
      <c r="AN110" s="98">
        <f t="shared" si="7"/>
        <v>6219.7270000000008</v>
      </c>
      <c r="AO110" s="99" t="s">
        <v>141</v>
      </c>
      <c r="AP110" s="100" t="s">
        <v>13</v>
      </c>
    </row>
    <row r="111" spans="1:42" x14ac:dyDescent="0.2">
      <c r="A111" s="105" t="s">
        <v>187</v>
      </c>
      <c r="B111" s="105" t="s">
        <v>11</v>
      </c>
      <c r="C111" s="106">
        <v>0</v>
      </c>
      <c r="D111" s="106">
        <v>0</v>
      </c>
      <c r="E111" s="106">
        <v>0</v>
      </c>
      <c r="F111" s="106">
        <v>0</v>
      </c>
      <c r="G111" s="106">
        <v>0</v>
      </c>
      <c r="H111" s="106">
        <v>0</v>
      </c>
      <c r="I111" s="107">
        <v>0</v>
      </c>
      <c r="J111" s="107">
        <v>0</v>
      </c>
      <c r="K111" s="107">
        <v>0</v>
      </c>
      <c r="L111" s="107">
        <v>0</v>
      </c>
      <c r="M111" s="107">
        <v>0</v>
      </c>
      <c r="N111" s="107">
        <v>0</v>
      </c>
      <c r="O111" s="107">
        <v>0</v>
      </c>
      <c r="P111" s="107">
        <v>0</v>
      </c>
      <c r="Q111" s="107">
        <v>0</v>
      </c>
      <c r="R111" s="107">
        <v>0</v>
      </c>
      <c r="S111" s="107">
        <v>0</v>
      </c>
      <c r="T111" s="107">
        <v>0</v>
      </c>
      <c r="U111" s="107">
        <v>0</v>
      </c>
      <c r="V111" s="107">
        <v>0</v>
      </c>
      <c r="W111" s="107">
        <v>0</v>
      </c>
      <c r="X111" s="107">
        <v>0</v>
      </c>
      <c r="Y111" s="107">
        <v>0</v>
      </c>
      <c r="Z111" s="107">
        <v>0</v>
      </c>
      <c r="AA111" s="107">
        <v>0</v>
      </c>
      <c r="AB111" s="107">
        <v>2214.61</v>
      </c>
      <c r="AC111" s="107">
        <v>3000</v>
      </c>
      <c r="AD111" s="107">
        <v>1249.99</v>
      </c>
      <c r="AE111" s="107" t="s">
        <v>11</v>
      </c>
      <c r="AF111" s="107" t="s">
        <v>11</v>
      </c>
      <c r="AG111" s="107" t="s">
        <v>11</v>
      </c>
      <c r="AH111" s="107" t="s">
        <v>11</v>
      </c>
      <c r="AI111" s="107" t="s">
        <v>11</v>
      </c>
      <c r="AJ111" s="108" t="s">
        <v>11</v>
      </c>
      <c r="AK111" s="108" t="s">
        <v>11</v>
      </c>
      <c r="AL111" s="108" t="s">
        <v>11</v>
      </c>
      <c r="AM111" s="108" t="s">
        <v>11</v>
      </c>
      <c r="AN111" s="109">
        <f t="shared" si="7"/>
        <v>6464.6</v>
      </c>
      <c r="AO111" s="110" t="s">
        <v>12</v>
      </c>
      <c r="AP111" s="111" t="s">
        <v>13</v>
      </c>
    </row>
    <row r="112" spans="1:42" x14ac:dyDescent="0.2">
      <c r="A112" s="105" t="s">
        <v>188</v>
      </c>
      <c r="B112" s="105" t="s">
        <v>189</v>
      </c>
      <c r="C112" s="106">
        <v>1734.42</v>
      </c>
      <c r="D112" s="106">
        <v>2764.64</v>
      </c>
      <c r="E112" s="106">
        <v>3014.41</v>
      </c>
      <c r="F112" s="106">
        <v>2270.6799999999998</v>
      </c>
      <c r="G112" s="106">
        <v>3384</v>
      </c>
      <c r="H112" s="106">
        <v>2009.8700000000001</v>
      </c>
      <c r="I112" s="107">
        <v>2145.46</v>
      </c>
      <c r="J112" s="107">
        <v>1559.46</v>
      </c>
      <c r="K112" s="107">
        <v>1157.0899999999999</v>
      </c>
      <c r="L112" s="107">
        <v>762.24</v>
      </c>
      <c r="M112" s="107">
        <v>1045.9000000000001</v>
      </c>
      <c r="N112" s="107">
        <v>1333.75</v>
      </c>
      <c r="O112" s="107">
        <v>1546.81</v>
      </c>
      <c r="P112" s="107">
        <v>1267.8</v>
      </c>
      <c r="Q112" s="107">
        <v>1516.85</v>
      </c>
      <c r="R112" s="107">
        <v>795.87</v>
      </c>
      <c r="S112" s="107">
        <v>680.38</v>
      </c>
      <c r="T112" s="107">
        <v>631.51</v>
      </c>
      <c r="U112" s="107">
        <v>1170.4000000000001</v>
      </c>
      <c r="V112" s="107">
        <v>1470.02</v>
      </c>
      <c r="W112" s="107">
        <v>1301.0899999999999</v>
      </c>
      <c r="X112" s="107">
        <v>290.45999999999998</v>
      </c>
      <c r="Y112" s="107">
        <v>306.36</v>
      </c>
      <c r="Z112" s="107" t="s">
        <v>11</v>
      </c>
      <c r="AA112" s="108" t="s">
        <v>11</v>
      </c>
      <c r="AB112" s="108" t="s">
        <v>11</v>
      </c>
      <c r="AC112" s="108" t="s">
        <v>11</v>
      </c>
      <c r="AD112" s="108" t="s">
        <v>11</v>
      </c>
      <c r="AE112" s="108" t="s">
        <v>11</v>
      </c>
      <c r="AF112" s="108" t="s">
        <v>11</v>
      </c>
      <c r="AG112" s="108" t="s">
        <v>11</v>
      </c>
      <c r="AH112" s="108" t="s">
        <v>11</v>
      </c>
      <c r="AI112" s="108" t="s">
        <v>11</v>
      </c>
      <c r="AJ112" s="108" t="s">
        <v>11</v>
      </c>
      <c r="AK112" s="108" t="s">
        <v>11</v>
      </c>
      <c r="AL112" s="108" t="s">
        <v>11</v>
      </c>
      <c r="AM112" s="108" t="s">
        <v>11</v>
      </c>
      <c r="AN112" s="109">
        <f t="shared" si="7"/>
        <v>34159.47</v>
      </c>
      <c r="AO112" s="110" t="s">
        <v>12</v>
      </c>
      <c r="AP112" s="111" t="s">
        <v>13</v>
      </c>
    </row>
    <row r="113" spans="1:42" x14ac:dyDescent="0.2">
      <c r="A113" s="105" t="s">
        <v>190</v>
      </c>
      <c r="B113" s="105" t="s">
        <v>191</v>
      </c>
      <c r="C113" s="106">
        <v>134.13999999999999</v>
      </c>
      <c r="D113" s="106">
        <v>76.5</v>
      </c>
      <c r="E113" s="106">
        <v>74.540000000000006</v>
      </c>
      <c r="F113" s="106">
        <v>57.570000000000007</v>
      </c>
      <c r="G113" s="106">
        <v>113.06</v>
      </c>
      <c r="H113" s="106">
        <v>141.61000000000001</v>
      </c>
      <c r="I113" s="107">
        <v>278.25467239527387</v>
      </c>
      <c r="J113" s="107">
        <v>264.76</v>
      </c>
      <c r="K113" s="107">
        <v>192.45999999999998</v>
      </c>
      <c r="L113" s="107">
        <v>128.72999999999999</v>
      </c>
      <c r="M113" s="107">
        <v>196.39</v>
      </c>
      <c r="N113" s="107">
        <v>263.14</v>
      </c>
      <c r="O113" s="107">
        <v>187.81</v>
      </c>
      <c r="P113" s="107">
        <v>151.32</v>
      </c>
      <c r="Q113" s="107">
        <v>144.02000000000001</v>
      </c>
      <c r="R113" s="107">
        <v>182.93</v>
      </c>
      <c r="S113" s="107">
        <v>371</v>
      </c>
      <c r="T113" s="107">
        <v>416.65</v>
      </c>
      <c r="U113" s="107">
        <v>473.47</v>
      </c>
      <c r="V113" s="107">
        <v>401.55</v>
      </c>
      <c r="W113" s="107">
        <v>276.97000000000003</v>
      </c>
      <c r="X113" s="107">
        <v>465.41</v>
      </c>
      <c r="Y113" s="107">
        <v>510.22</v>
      </c>
      <c r="Z113" s="107">
        <v>615.59</v>
      </c>
      <c r="AA113" s="107">
        <v>604.74</v>
      </c>
      <c r="AB113" s="107">
        <v>513.6</v>
      </c>
      <c r="AC113" s="107">
        <v>567.02</v>
      </c>
      <c r="AD113" s="107">
        <v>428.78</v>
      </c>
      <c r="AE113" s="107">
        <v>444.28</v>
      </c>
      <c r="AF113" s="107">
        <v>360.51</v>
      </c>
      <c r="AG113" s="107">
        <v>324.33</v>
      </c>
      <c r="AH113" s="108">
        <v>421.1</v>
      </c>
      <c r="AI113" s="108">
        <v>52.08</v>
      </c>
      <c r="AJ113" s="108" t="s">
        <v>11</v>
      </c>
      <c r="AK113" s="108" t="s">
        <v>11</v>
      </c>
      <c r="AL113" s="108" t="s">
        <v>11</v>
      </c>
      <c r="AM113" s="108" t="s">
        <v>11</v>
      </c>
      <c r="AN113" s="109">
        <f t="shared" si="7"/>
        <v>9834.5346723952771</v>
      </c>
      <c r="AO113" s="110" t="s">
        <v>12</v>
      </c>
      <c r="AP113" s="111" t="s">
        <v>13</v>
      </c>
    </row>
    <row r="114" spans="1:42" x14ac:dyDescent="0.2">
      <c r="A114" s="105" t="s">
        <v>192</v>
      </c>
      <c r="B114" s="105" t="s">
        <v>193</v>
      </c>
      <c r="C114" s="106">
        <v>4607.99</v>
      </c>
      <c r="D114" s="106">
        <v>4437.97</v>
      </c>
      <c r="E114" s="106">
        <v>5243.21</v>
      </c>
      <c r="F114" s="106">
        <v>4011.0700000000006</v>
      </c>
      <c r="G114" s="106">
        <v>4924.1900000000005</v>
      </c>
      <c r="H114" s="106">
        <v>5471.5299999999988</v>
      </c>
      <c r="I114" s="107">
        <v>5377.21</v>
      </c>
      <c r="J114" s="107">
        <v>5684.6</v>
      </c>
      <c r="K114" s="107">
        <v>4950.3</v>
      </c>
      <c r="L114" s="107">
        <v>5223.4399999999996</v>
      </c>
      <c r="M114" s="107">
        <v>4786.72</v>
      </c>
      <c r="N114" s="107">
        <v>3693.12</v>
      </c>
      <c r="O114" s="107">
        <v>3448.26</v>
      </c>
      <c r="P114" s="107">
        <v>3343.92</v>
      </c>
      <c r="Q114" s="107">
        <v>2297.19</v>
      </c>
      <c r="R114" s="107">
        <v>5273.87</v>
      </c>
      <c r="S114" s="107">
        <v>5262.89</v>
      </c>
      <c r="T114" s="107">
        <v>3391.43</v>
      </c>
      <c r="U114" s="107">
        <v>2864.6</v>
      </c>
      <c r="V114" s="107">
        <v>2179.06</v>
      </c>
      <c r="W114" s="107">
        <v>1437.38</v>
      </c>
      <c r="X114" s="107">
        <v>849.53</v>
      </c>
      <c r="Y114" s="107">
        <v>1301.3699999999999</v>
      </c>
      <c r="Z114" s="107">
        <v>1278.21</v>
      </c>
      <c r="AA114" s="107" t="s">
        <v>11</v>
      </c>
      <c r="AB114" s="107" t="s">
        <v>11</v>
      </c>
      <c r="AC114" s="107" t="s">
        <v>11</v>
      </c>
      <c r="AD114" s="107" t="s">
        <v>11</v>
      </c>
      <c r="AE114" s="107" t="s">
        <v>11</v>
      </c>
      <c r="AF114" s="107" t="s">
        <v>11</v>
      </c>
      <c r="AG114" s="107" t="s">
        <v>11</v>
      </c>
      <c r="AH114" s="108" t="s">
        <v>11</v>
      </c>
      <c r="AI114" s="108" t="s">
        <v>11</v>
      </c>
      <c r="AJ114" s="108" t="s">
        <v>11</v>
      </c>
      <c r="AK114" s="108" t="s">
        <v>11</v>
      </c>
      <c r="AL114" s="108" t="s">
        <v>11</v>
      </c>
      <c r="AM114" s="108" t="s">
        <v>11</v>
      </c>
      <c r="AN114" s="109">
        <f t="shared" si="7"/>
        <v>91339.06</v>
      </c>
      <c r="AO114" s="110" t="s">
        <v>12</v>
      </c>
      <c r="AP114" s="111" t="s">
        <v>13</v>
      </c>
    </row>
    <row r="115" spans="1:42" x14ac:dyDescent="0.2">
      <c r="A115" s="105" t="s">
        <v>194</v>
      </c>
      <c r="B115" s="105" t="s">
        <v>195</v>
      </c>
      <c r="C115" s="106">
        <v>0</v>
      </c>
      <c r="D115" s="106">
        <v>0</v>
      </c>
      <c r="E115" s="106">
        <v>0.51</v>
      </c>
      <c r="F115" s="106">
        <v>0</v>
      </c>
      <c r="G115" s="106">
        <v>0.51</v>
      </c>
      <c r="H115" s="106">
        <v>3.5999999999999996</v>
      </c>
      <c r="I115" s="107">
        <v>28.06</v>
      </c>
      <c r="J115" s="107">
        <v>19.010000000000002</v>
      </c>
      <c r="K115" s="107">
        <v>71.11</v>
      </c>
      <c r="L115" s="107">
        <v>58.12</v>
      </c>
      <c r="M115" s="107">
        <v>76.98</v>
      </c>
      <c r="N115" s="107">
        <v>65.44</v>
      </c>
      <c r="O115" s="107">
        <v>23.36</v>
      </c>
      <c r="P115" s="107">
        <v>108.45</v>
      </c>
      <c r="Q115" s="107">
        <v>33.33</v>
      </c>
      <c r="R115" s="107">
        <v>12.4</v>
      </c>
      <c r="S115" s="107">
        <v>52.92</v>
      </c>
      <c r="T115" s="107">
        <v>24.3</v>
      </c>
      <c r="U115" s="107">
        <v>131.27000000000001</v>
      </c>
      <c r="V115" s="107">
        <v>46.82</v>
      </c>
      <c r="W115" s="107">
        <v>0</v>
      </c>
      <c r="X115" s="107">
        <v>0</v>
      </c>
      <c r="Y115" s="107" t="s">
        <v>114</v>
      </c>
      <c r="Z115" s="107">
        <v>3.4</v>
      </c>
      <c r="AA115" s="107">
        <v>3.73</v>
      </c>
      <c r="AB115" s="107">
        <v>4.93</v>
      </c>
      <c r="AC115" s="107">
        <v>24.89</v>
      </c>
      <c r="AD115" s="107">
        <v>127.64</v>
      </c>
      <c r="AE115" s="107">
        <v>0</v>
      </c>
      <c r="AF115" s="107">
        <v>0</v>
      </c>
      <c r="AG115" s="107">
        <v>3.42</v>
      </c>
      <c r="AH115" s="107" t="s">
        <v>11</v>
      </c>
      <c r="AI115" s="107" t="s">
        <v>11</v>
      </c>
      <c r="AJ115" s="107" t="s">
        <v>11</v>
      </c>
      <c r="AK115" s="107" t="s">
        <v>11</v>
      </c>
      <c r="AL115" s="108" t="s">
        <v>11</v>
      </c>
      <c r="AM115" s="108" t="s">
        <v>11</v>
      </c>
      <c r="AN115" s="109">
        <f t="shared" si="7"/>
        <v>924.19999999999982</v>
      </c>
      <c r="AO115" s="110" t="s">
        <v>12</v>
      </c>
      <c r="AP115" s="111" t="s">
        <v>13</v>
      </c>
    </row>
    <row r="116" spans="1:42" x14ac:dyDescent="0.2">
      <c r="A116" s="105" t="s">
        <v>196</v>
      </c>
      <c r="B116" s="105" t="s">
        <v>197</v>
      </c>
      <c r="C116" s="106">
        <v>0.51</v>
      </c>
      <c r="D116" s="106">
        <v>0</v>
      </c>
      <c r="E116" s="106">
        <v>1.02</v>
      </c>
      <c r="F116" s="106">
        <v>0</v>
      </c>
      <c r="G116" s="106">
        <v>0</v>
      </c>
      <c r="H116" s="106">
        <v>133.54000000000002</v>
      </c>
      <c r="I116" s="107">
        <v>425.83</v>
      </c>
      <c r="J116" s="107">
        <v>160.4</v>
      </c>
      <c r="K116" s="107">
        <v>59.25</v>
      </c>
      <c r="L116" s="107">
        <v>77.459999999999994</v>
      </c>
      <c r="M116" s="107">
        <v>109.62</v>
      </c>
      <c r="N116" s="107">
        <v>78.2</v>
      </c>
      <c r="O116" s="107">
        <v>27.78</v>
      </c>
      <c r="P116" s="107">
        <v>387.01</v>
      </c>
      <c r="Q116" s="107">
        <v>300.82</v>
      </c>
      <c r="R116" s="107">
        <v>301.29000000000002</v>
      </c>
      <c r="S116" s="107">
        <v>300.58999999999997</v>
      </c>
      <c r="T116" s="107">
        <v>303.91000000000003</v>
      </c>
      <c r="U116" s="107">
        <v>308.32</v>
      </c>
      <c r="V116" s="107">
        <v>117.02</v>
      </c>
      <c r="W116" s="107">
        <v>190.37</v>
      </c>
      <c r="X116" s="107">
        <v>85.18</v>
      </c>
      <c r="Y116" s="107">
        <v>281.13</v>
      </c>
      <c r="Z116" s="107">
        <v>377.4</v>
      </c>
      <c r="AA116" s="107">
        <v>362.29</v>
      </c>
      <c r="AB116" s="108">
        <v>169.35</v>
      </c>
      <c r="AC116" s="108">
        <v>16.71</v>
      </c>
      <c r="AD116" s="108">
        <v>133.5</v>
      </c>
      <c r="AE116" s="108">
        <v>12.79</v>
      </c>
      <c r="AF116" s="108" t="s">
        <v>114</v>
      </c>
      <c r="AG116" s="108" t="s">
        <v>114</v>
      </c>
      <c r="AH116" s="108" t="s">
        <v>11</v>
      </c>
      <c r="AI116" s="108" t="s">
        <v>11</v>
      </c>
      <c r="AJ116" s="108" t="s">
        <v>11</v>
      </c>
      <c r="AK116" s="108" t="s">
        <v>11</v>
      </c>
      <c r="AL116" s="108" t="s">
        <v>11</v>
      </c>
      <c r="AM116" s="108" t="s">
        <v>11</v>
      </c>
      <c r="AN116" s="109">
        <f t="shared" si="7"/>
        <v>4721.2900000000009</v>
      </c>
      <c r="AO116" s="110" t="s">
        <v>12</v>
      </c>
      <c r="AP116" s="111" t="s">
        <v>13</v>
      </c>
    </row>
    <row r="117" spans="1:42" x14ac:dyDescent="0.2">
      <c r="A117" s="93" t="s">
        <v>198</v>
      </c>
      <c r="B117" s="93" t="s">
        <v>199</v>
      </c>
      <c r="C117" s="101">
        <v>466.58</v>
      </c>
      <c r="D117" s="101">
        <v>1402.81</v>
      </c>
      <c r="E117" s="101">
        <v>4213.83</v>
      </c>
      <c r="F117" s="104">
        <v>2543.02</v>
      </c>
      <c r="G117" s="101">
        <v>3249.8399999999997</v>
      </c>
      <c r="H117" s="101">
        <v>4876.37</v>
      </c>
      <c r="I117" s="97">
        <v>6677.78</v>
      </c>
      <c r="J117" s="97">
        <v>5002.96</v>
      </c>
      <c r="K117" s="97">
        <v>3946.49</v>
      </c>
      <c r="L117" s="97">
        <v>4485.8599999999997</v>
      </c>
      <c r="M117" s="97">
        <v>2900.97</v>
      </c>
      <c r="N117" s="97">
        <v>4034.98</v>
      </c>
      <c r="O117" s="97">
        <v>2477.21</v>
      </c>
      <c r="P117" s="97">
        <v>3447.91</v>
      </c>
      <c r="Q117" s="97">
        <v>2898.79</v>
      </c>
      <c r="R117" s="97">
        <v>1704.15</v>
      </c>
      <c r="S117" s="97">
        <v>935.86</v>
      </c>
      <c r="T117" s="97">
        <v>1126.19</v>
      </c>
      <c r="U117" s="97">
        <v>1602.43</v>
      </c>
      <c r="V117" s="97">
        <v>1525.75</v>
      </c>
      <c r="W117" s="97">
        <v>698.88</v>
      </c>
      <c r="X117" s="97">
        <v>965.81</v>
      </c>
      <c r="Y117" s="95">
        <v>2824.37</v>
      </c>
      <c r="Z117" s="95">
        <v>3362.24</v>
      </c>
      <c r="AA117" s="95">
        <v>5352.72</v>
      </c>
      <c r="AB117" s="95">
        <v>4455.79</v>
      </c>
      <c r="AC117" s="95">
        <v>3597.42</v>
      </c>
      <c r="AD117" s="95">
        <v>2812.45</v>
      </c>
      <c r="AE117" s="95">
        <v>3163.58</v>
      </c>
      <c r="AF117" s="95">
        <v>1508.43</v>
      </c>
      <c r="AG117" s="95">
        <v>2500.8200000000002</v>
      </c>
      <c r="AH117" s="95">
        <v>3965</v>
      </c>
      <c r="AI117" s="95">
        <v>4732</v>
      </c>
      <c r="AJ117" s="95">
        <v>5750</v>
      </c>
      <c r="AK117" s="95">
        <v>4266</v>
      </c>
      <c r="AL117" s="95" t="s">
        <v>11</v>
      </c>
      <c r="AM117" s="95" t="s">
        <v>11</v>
      </c>
      <c r="AN117" s="98">
        <f t="shared" si="7"/>
        <v>109475.29</v>
      </c>
      <c r="AO117" s="99" t="s">
        <v>12</v>
      </c>
      <c r="AP117" s="100" t="s">
        <v>13</v>
      </c>
    </row>
    <row r="118" spans="1:42" x14ac:dyDescent="0.2">
      <c r="A118" s="93" t="s">
        <v>200</v>
      </c>
      <c r="B118" s="93" t="s">
        <v>201</v>
      </c>
      <c r="C118" s="101">
        <v>3818.81</v>
      </c>
      <c r="D118" s="101">
        <v>56.54</v>
      </c>
      <c r="E118" s="97">
        <v>0</v>
      </c>
      <c r="F118" s="97">
        <v>0</v>
      </c>
      <c r="G118" s="97">
        <v>0</v>
      </c>
      <c r="H118" s="97">
        <v>0</v>
      </c>
      <c r="I118" s="97">
        <v>0</v>
      </c>
      <c r="J118" s="97">
        <v>0</v>
      </c>
      <c r="K118" s="97">
        <v>0</v>
      </c>
      <c r="L118" s="97">
        <v>0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0</v>
      </c>
      <c r="S118" s="97">
        <v>0</v>
      </c>
      <c r="T118" s="97">
        <v>0</v>
      </c>
      <c r="U118" s="95">
        <v>0</v>
      </c>
      <c r="V118" s="95">
        <v>0</v>
      </c>
      <c r="W118" s="95">
        <v>0</v>
      </c>
      <c r="X118" s="95">
        <v>0</v>
      </c>
      <c r="Y118" s="95">
        <v>0</v>
      </c>
      <c r="Z118" s="95">
        <v>0</v>
      </c>
      <c r="AA118" s="95">
        <v>0</v>
      </c>
      <c r="AB118" s="95">
        <v>0</v>
      </c>
      <c r="AC118" s="95">
        <v>0</v>
      </c>
      <c r="AD118" s="95">
        <v>0</v>
      </c>
      <c r="AE118" s="95">
        <v>0</v>
      </c>
      <c r="AF118" s="95">
        <v>0</v>
      </c>
      <c r="AG118" s="95">
        <v>0</v>
      </c>
      <c r="AH118" s="95">
        <v>0</v>
      </c>
      <c r="AI118" s="95">
        <v>0</v>
      </c>
      <c r="AJ118" s="97">
        <v>0</v>
      </c>
      <c r="AK118" s="97">
        <v>0</v>
      </c>
      <c r="AL118" s="97">
        <v>0</v>
      </c>
      <c r="AM118" s="144">
        <v>0</v>
      </c>
      <c r="AN118" s="98">
        <f t="shared" si="7"/>
        <v>3875.35</v>
      </c>
      <c r="AO118" s="99" t="s">
        <v>12</v>
      </c>
      <c r="AP118" s="100" t="s">
        <v>13</v>
      </c>
    </row>
    <row r="119" spans="1:42" x14ac:dyDescent="0.2">
      <c r="A119" s="93" t="s">
        <v>202</v>
      </c>
      <c r="B119" s="93" t="s">
        <v>203</v>
      </c>
      <c r="C119" s="101">
        <v>5059.47</v>
      </c>
      <c r="D119" s="101">
        <v>3737.12</v>
      </c>
      <c r="E119" s="101">
        <v>8800.7000000000007</v>
      </c>
      <c r="F119" s="101">
        <v>7063.79</v>
      </c>
      <c r="G119" s="101">
        <v>4801.4400000000005</v>
      </c>
      <c r="H119" s="101">
        <v>8066.9600000000019</v>
      </c>
      <c r="I119" s="97">
        <v>10304.06</v>
      </c>
      <c r="J119" s="97">
        <v>6964.54</v>
      </c>
      <c r="K119" s="97">
        <v>6991.36</v>
      </c>
      <c r="L119" s="97">
        <v>8984.64</v>
      </c>
      <c r="M119" s="97">
        <v>7633.27</v>
      </c>
      <c r="N119" s="97">
        <v>7303.5</v>
      </c>
      <c r="O119" s="97">
        <v>9712.01</v>
      </c>
      <c r="P119" s="97">
        <v>5494.2</v>
      </c>
      <c r="Q119" s="97">
        <v>4228.2299999999996</v>
      </c>
      <c r="R119" s="97">
        <v>5593.78</v>
      </c>
      <c r="S119" s="97">
        <v>5082.55</v>
      </c>
      <c r="T119" s="97">
        <v>4277.93</v>
      </c>
      <c r="U119" s="97">
        <v>5453.4</v>
      </c>
      <c r="V119" s="97">
        <v>5562.09</v>
      </c>
      <c r="W119" s="97">
        <v>2943.41</v>
      </c>
      <c r="X119" s="97">
        <v>1677.3</v>
      </c>
      <c r="Y119" s="97">
        <v>4477.6499999999996</v>
      </c>
      <c r="Z119" s="95">
        <v>2518.11</v>
      </c>
      <c r="AA119" s="95">
        <v>9.17</v>
      </c>
      <c r="AB119" s="95" t="s">
        <v>11</v>
      </c>
      <c r="AC119" s="95" t="s">
        <v>11</v>
      </c>
      <c r="AD119" s="95" t="s">
        <v>11</v>
      </c>
      <c r="AE119" s="95" t="s">
        <v>11</v>
      </c>
      <c r="AF119" s="95" t="s">
        <v>11</v>
      </c>
      <c r="AG119" s="95" t="s">
        <v>11</v>
      </c>
      <c r="AH119" s="95" t="s">
        <v>11</v>
      </c>
      <c r="AI119" s="95" t="s">
        <v>11</v>
      </c>
      <c r="AJ119" s="95" t="s">
        <v>11</v>
      </c>
      <c r="AK119" s="95" t="s">
        <v>11</v>
      </c>
      <c r="AL119" s="95" t="s">
        <v>11</v>
      </c>
      <c r="AM119" s="95" t="s">
        <v>11</v>
      </c>
      <c r="AN119" s="98">
        <f t="shared" si="7"/>
        <v>142740.67999999996</v>
      </c>
      <c r="AO119" s="99" t="s">
        <v>12</v>
      </c>
      <c r="AP119" s="100" t="s">
        <v>13</v>
      </c>
    </row>
    <row r="120" spans="1:42" x14ac:dyDescent="0.2">
      <c r="A120" s="93" t="s">
        <v>204</v>
      </c>
      <c r="B120" s="93" t="s">
        <v>205</v>
      </c>
      <c r="C120" s="101">
        <v>0</v>
      </c>
      <c r="D120" s="101">
        <v>6.76</v>
      </c>
      <c r="E120" s="101">
        <v>4.8600000000000003</v>
      </c>
      <c r="F120" s="101">
        <v>2.5</v>
      </c>
      <c r="G120" s="101">
        <v>7.6</v>
      </c>
      <c r="H120" s="101">
        <v>26.22</v>
      </c>
      <c r="I120" s="97">
        <v>10.19</v>
      </c>
      <c r="J120" s="97">
        <v>10.54</v>
      </c>
      <c r="K120" s="97">
        <v>0.5</v>
      </c>
      <c r="L120" s="97">
        <v>121.07</v>
      </c>
      <c r="M120" s="97">
        <v>11.87</v>
      </c>
      <c r="N120" s="97">
        <v>0</v>
      </c>
      <c r="O120" s="97">
        <v>0</v>
      </c>
      <c r="P120" s="97">
        <v>0</v>
      </c>
      <c r="Q120" s="97">
        <v>25.67</v>
      </c>
      <c r="R120" s="97">
        <v>0.5</v>
      </c>
      <c r="S120" s="97">
        <v>49.84</v>
      </c>
      <c r="T120" s="97" t="s">
        <v>114</v>
      </c>
      <c r="U120" s="97" t="s">
        <v>114</v>
      </c>
      <c r="V120" s="97">
        <v>15.09</v>
      </c>
      <c r="W120" s="97">
        <v>1.39</v>
      </c>
      <c r="X120" s="97">
        <v>11.23</v>
      </c>
      <c r="Y120" s="97" t="s">
        <v>11</v>
      </c>
      <c r="Z120" s="97" t="s">
        <v>11</v>
      </c>
      <c r="AA120" s="97" t="s">
        <v>11</v>
      </c>
      <c r="AB120" s="97" t="s">
        <v>11</v>
      </c>
      <c r="AC120" s="97" t="s">
        <v>11</v>
      </c>
      <c r="AD120" s="97" t="s">
        <v>11</v>
      </c>
      <c r="AE120" s="97" t="s">
        <v>11</v>
      </c>
      <c r="AF120" s="97" t="s">
        <v>11</v>
      </c>
      <c r="AG120" s="95" t="s">
        <v>11</v>
      </c>
      <c r="AH120" s="95" t="s">
        <v>11</v>
      </c>
      <c r="AI120" s="95" t="s">
        <v>11</v>
      </c>
      <c r="AJ120" s="95" t="s">
        <v>11</v>
      </c>
      <c r="AK120" s="95" t="s">
        <v>11</v>
      </c>
      <c r="AL120" s="95" t="s">
        <v>11</v>
      </c>
      <c r="AM120" s="95" t="s">
        <v>11</v>
      </c>
      <c r="AN120" s="98">
        <f t="shared" si="7"/>
        <v>305.83</v>
      </c>
      <c r="AO120" s="99" t="s">
        <v>12</v>
      </c>
      <c r="AP120" s="100" t="s">
        <v>13</v>
      </c>
    </row>
    <row r="121" spans="1:42" x14ac:dyDescent="0.2">
      <c r="A121" s="93" t="s">
        <v>206</v>
      </c>
      <c r="B121" s="93" t="s">
        <v>207</v>
      </c>
      <c r="C121" s="101">
        <v>0</v>
      </c>
      <c r="D121" s="101">
        <v>933.7</v>
      </c>
      <c r="E121" s="101">
        <v>927.69</v>
      </c>
      <c r="F121" s="101">
        <v>310.92</v>
      </c>
      <c r="G121" s="101">
        <v>409.92</v>
      </c>
      <c r="H121" s="101">
        <v>1570.1</v>
      </c>
      <c r="I121" s="97">
        <v>1034.3399999999999</v>
      </c>
      <c r="J121" s="97">
        <v>66.400000000000006</v>
      </c>
      <c r="K121" s="97">
        <v>67.260000000000005</v>
      </c>
      <c r="L121" s="97">
        <v>280.06</v>
      </c>
      <c r="M121" s="97">
        <v>607.22</v>
      </c>
      <c r="N121" s="97">
        <v>1207.3800000000001</v>
      </c>
      <c r="O121" s="97">
        <v>1814.95</v>
      </c>
      <c r="P121" s="97">
        <v>716.27</v>
      </c>
      <c r="Q121" s="97">
        <v>609.1</v>
      </c>
      <c r="R121" s="97">
        <v>267.95</v>
      </c>
      <c r="S121" s="97">
        <v>169.77</v>
      </c>
      <c r="T121" s="97">
        <v>728.86</v>
      </c>
      <c r="U121" s="97">
        <v>142.78</v>
      </c>
      <c r="V121" s="97">
        <v>59.11</v>
      </c>
      <c r="W121" s="97">
        <v>14.99</v>
      </c>
      <c r="X121" s="97">
        <v>83.35</v>
      </c>
      <c r="Y121" s="97">
        <v>361.69</v>
      </c>
      <c r="Z121" s="97" t="s">
        <v>11</v>
      </c>
      <c r="AA121" s="97" t="s">
        <v>11</v>
      </c>
      <c r="AB121" s="95" t="s">
        <v>11</v>
      </c>
      <c r="AC121" s="95" t="s">
        <v>11</v>
      </c>
      <c r="AD121" s="95" t="s">
        <v>11</v>
      </c>
      <c r="AE121" s="95" t="s">
        <v>11</v>
      </c>
      <c r="AF121" s="95" t="s">
        <v>11</v>
      </c>
      <c r="AG121" s="95" t="s">
        <v>11</v>
      </c>
      <c r="AH121" s="95" t="s">
        <v>11</v>
      </c>
      <c r="AI121" s="95" t="s">
        <v>11</v>
      </c>
      <c r="AJ121" s="95" t="s">
        <v>11</v>
      </c>
      <c r="AK121" s="95" t="s">
        <v>11</v>
      </c>
      <c r="AL121" s="95" t="s">
        <v>11</v>
      </c>
      <c r="AM121" s="95" t="s">
        <v>11</v>
      </c>
      <c r="AN121" s="98">
        <f t="shared" si="7"/>
        <v>12383.810000000005</v>
      </c>
      <c r="AO121" s="99" t="s">
        <v>12</v>
      </c>
      <c r="AP121" s="100" t="s">
        <v>13</v>
      </c>
    </row>
    <row r="122" spans="1:42" x14ac:dyDescent="0.2">
      <c r="A122" s="93" t="s">
        <v>208</v>
      </c>
      <c r="B122" s="93" t="s">
        <v>209</v>
      </c>
      <c r="C122" s="101">
        <v>190.68</v>
      </c>
      <c r="D122" s="101">
        <v>155.61000000000001</v>
      </c>
      <c r="E122" s="101">
        <v>222.3</v>
      </c>
      <c r="F122" s="101">
        <v>16.060000000000002</v>
      </c>
      <c r="G122" s="101">
        <v>42.75</v>
      </c>
      <c r="H122" s="101">
        <v>216.54000000000002</v>
      </c>
      <c r="I122" s="97">
        <v>202.55</v>
      </c>
      <c r="J122" s="97">
        <v>114.49</v>
      </c>
      <c r="K122" s="97">
        <v>205.77999999999997</v>
      </c>
      <c r="L122" s="97">
        <v>282.95999999999998</v>
      </c>
      <c r="M122" s="97">
        <v>311.14999999999998</v>
      </c>
      <c r="N122" s="97">
        <v>219.53</v>
      </c>
      <c r="O122" s="97">
        <v>191.64</v>
      </c>
      <c r="P122" s="97">
        <v>219.93</v>
      </c>
      <c r="Q122" s="97">
        <v>106.69</v>
      </c>
      <c r="R122" s="97">
        <v>130.11000000000001</v>
      </c>
      <c r="S122" s="97">
        <v>173.03</v>
      </c>
      <c r="T122" s="97">
        <v>119.69</v>
      </c>
      <c r="U122" s="97">
        <v>316.45</v>
      </c>
      <c r="V122" s="97">
        <v>398.16</v>
      </c>
      <c r="W122" s="97">
        <v>21.81</v>
      </c>
      <c r="X122" s="97">
        <v>141.68</v>
      </c>
      <c r="Y122" s="97">
        <v>381.07</v>
      </c>
      <c r="Z122" s="97">
        <v>453.42</v>
      </c>
      <c r="AA122" s="97">
        <v>27.76</v>
      </c>
      <c r="AB122" s="97">
        <v>74.900000000000006</v>
      </c>
      <c r="AC122" s="97">
        <v>18.73</v>
      </c>
      <c r="AD122" s="97">
        <v>259.87</v>
      </c>
      <c r="AE122" s="97">
        <v>255.7</v>
      </c>
      <c r="AF122" s="97">
        <v>202.27</v>
      </c>
      <c r="AG122" s="97" t="s">
        <v>11</v>
      </c>
      <c r="AH122" s="97" t="s">
        <v>11</v>
      </c>
      <c r="AI122" s="97" t="s">
        <v>11</v>
      </c>
      <c r="AJ122" s="97" t="s">
        <v>11</v>
      </c>
      <c r="AK122" s="97" t="s">
        <v>11</v>
      </c>
      <c r="AL122" s="95" t="s">
        <v>11</v>
      </c>
      <c r="AM122" s="95" t="s">
        <v>11</v>
      </c>
      <c r="AN122" s="98">
        <f t="shared" si="7"/>
        <v>5673.3099999999995</v>
      </c>
      <c r="AO122" s="99" t="s">
        <v>12</v>
      </c>
      <c r="AP122" s="100" t="s">
        <v>13</v>
      </c>
    </row>
    <row r="123" spans="1:42" x14ac:dyDescent="0.2">
      <c r="A123" s="105" t="s">
        <v>210</v>
      </c>
      <c r="B123" s="105" t="s">
        <v>211</v>
      </c>
      <c r="C123" s="106">
        <v>203.47</v>
      </c>
      <c r="D123" s="106">
        <v>218.81</v>
      </c>
      <c r="E123" s="106">
        <v>211.8</v>
      </c>
      <c r="F123" s="106">
        <v>188.92000000000002</v>
      </c>
      <c r="G123" s="106">
        <v>231.98999999999998</v>
      </c>
      <c r="H123" s="106">
        <v>334.58</v>
      </c>
      <c r="I123" s="107">
        <v>323.74</v>
      </c>
      <c r="J123" s="107">
        <v>280.52999999999997</v>
      </c>
      <c r="K123" s="107">
        <v>298.82</v>
      </c>
      <c r="L123" s="107">
        <v>259.95</v>
      </c>
      <c r="M123" s="107">
        <v>260.45999999999998</v>
      </c>
      <c r="N123" s="107">
        <v>234.07</v>
      </c>
      <c r="O123" s="107">
        <v>235.11</v>
      </c>
      <c r="P123" s="107">
        <v>218.3</v>
      </c>
      <c r="Q123" s="107">
        <v>177.75</v>
      </c>
      <c r="R123" s="107">
        <v>187.33</v>
      </c>
      <c r="S123" s="107">
        <v>185.32</v>
      </c>
      <c r="T123" s="107">
        <v>163.41</v>
      </c>
      <c r="U123" s="107">
        <v>153.87</v>
      </c>
      <c r="V123" s="107">
        <v>159.93</v>
      </c>
      <c r="W123" s="107">
        <v>133.08000000000001</v>
      </c>
      <c r="X123" s="107">
        <v>122.53</v>
      </c>
      <c r="Y123" s="107">
        <v>130.63</v>
      </c>
      <c r="Z123" s="107">
        <v>93.43</v>
      </c>
      <c r="AA123" s="107">
        <v>13.02</v>
      </c>
      <c r="AB123" s="107" t="s">
        <v>11</v>
      </c>
      <c r="AC123" s="107" t="s">
        <v>11</v>
      </c>
      <c r="AD123" s="107" t="s">
        <v>11</v>
      </c>
      <c r="AE123" s="107" t="s">
        <v>11</v>
      </c>
      <c r="AF123" s="107" t="s">
        <v>11</v>
      </c>
      <c r="AG123" s="107" t="s">
        <v>11</v>
      </c>
      <c r="AH123" s="107" t="s">
        <v>11</v>
      </c>
      <c r="AI123" s="107" t="s">
        <v>11</v>
      </c>
      <c r="AJ123" s="107" t="s">
        <v>11</v>
      </c>
      <c r="AK123" s="107" t="s">
        <v>11</v>
      </c>
      <c r="AL123" s="108" t="s">
        <v>11</v>
      </c>
      <c r="AM123" s="108" t="s">
        <v>11</v>
      </c>
      <c r="AN123" s="109">
        <f t="shared" si="7"/>
        <v>5020.8500000000013</v>
      </c>
      <c r="AO123" s="110" t="s">
        <v>12</v>
      </c>
      <c r="AP123" s="111" t="s">
        <v>13</v>
      </c>
    </row>
    <row r="124" spans="1:42" x14ac:dyDescent="0.2">
      <c r="A124" s="105" t="s">
        <v>212</v>
      </c>
      <c r="B124" s="105" t="s">
        <v>213</v>
      </c>
      <c r="C124" s="106">
        <v>394.47</v>
      </c>
      <c r="D124" s="106">
        <v>382.03</v>
      </c>
      <c r="E124" s="106">
        <v>393.47</v>
      </c>
      <c r="F124" s="106">
        <v>432</v>
      </c>
      <c r="G124" s="113">
        <v>512.62</v>
      </c>
      <c r="H124" s="113">
        <v>575.05000000000007</v>
      </c>
      <c r="I124" s="115">
        <v>556.16999999999996</v>
      </c>
      <c r="J124" s="107">
        <v>514.94000000000005</v>
      </c>
      <c r="K124" s="107">
        <v>547.04</v>
      </c>
      <c r="L124" s="108">
        <v>520.17999999999995</v>
      </c>
      <c r="M124" s="108">
        <v>519.67999999999995</v>
      </c>
      <c r="N124" s="108">
        <v>478.91</v>
      </c>
      <c r="O124" s="108">
        <v>537.94000000000005</v>
      </c>
      <c r="P124" s="108">
        <v>510.54</v>
      </c>
      <c r="Q124" s="108">
        <v>410.06</v>
      </c>
      <c r="R124" s="108">
        <v>469.76</v>
      </c>
      <c r="S124" s="108">
        <v>437.55</v>
      </c>
      <c r="T124" s="108">
        <v>413.62</v>
      </c>
      <c r="U124" s="108">
        <v>424.91</v>
      </c>
      <c r="V124" s="108">
        <v>381.54</v>
      </c>
      <c r="W124" s="108">
        <v>390.85</v>
      </c>
      <c r="X124" s="108">
        <v>339.91</v>
      </c>
      <c r="Y124" s="108">
        <v>394.38</v>
      </c>
      <c r="Z124" s="108">
        <v>437.75</v>
      </c>
      <c r="AA124" s="108">
        <v>391.03</v>
      </c>
      <c r="AB124" s="108">
        <v>363.42</v>
      </c>
      <c r="AC124" s="108">
        <v>306.08999999999997</v>
      </c>
      <c r="AD124" s="108">
        <v>209.72</v>
      </c>
      <c r="AE124" s="108">
        <v>253.76</v>
      </c>
      <c r="AF124" s="108">
        <v>188.12</v>
      </c>
      <c r="AG124" s="108">
        <v>180.54</v>
      </c>
      <c r="AH124" s="108">
        <v>184.94</v>
      </c>
      <c r="AI124" s="108">
        <v>160.05000000000001</v>
      </c>
      <c r="AJ124" s="108">
        <v>150.06</v>
      </c>
      <c r="AK124" s="108">
        <v>109.5</v>
      </c>
      <c r="AL124" s="108" t="s">
        <v>11</v>
      </c>
      <c r="AM124" s="108" t="s">
        <v>11</v>
      </c>
      <c r="AN124" s="109">
        <f t="shared" si="7"/>
        <v>13472.600000000004</v>
      </c>
      <c r="AO124" s="116" t="s">
        <v>12</v>
      </c>
      <c r="AP124" s="117" t="s">
        <v>13</v>
      </c>
    </row>
    <row r="125" spans="1:42" x14ac:dyDescent="0.2">
      <c r="A125" s="105" t="s">
        <v>214</v>
      </c>
      <c r="B125" s="105" t="s">
        <v>215</v>
      </c>
      <c r="C125" s="106">
        <v>158.74</v>
      </c>
      <c r="D125" s="106">
        <v>154.94</v>
      </c>
      <c r="E125" s="106">
        <v>173</v>
      </c>
      <c r="F125" s="106">
        <v>178.64000000000001</v>
      </c>
      <c r="G125" s="106">
        <v>199.38</v>
      </c>
      <c r="H125" s="113">
        <v>235.19499999999999</v>
      </c>
      <c r="I125" s="115">
        <v>231.64</v>
      </c>
      <c r="J125" s="107">
        <v>252.84</v>
      </c>
      <c r="K125" s="107">
        <v>293.36</v>
      </c>
      <c r="L125" s="107">
        <v>241.06</v>
      </c>
      <c r="M125" s="107">
        <v>252.97</v>
      </c>
      <c r="N125" s="108">
        <v>232.25000000000003</v>
      </c>
      <c r="O125" s="108">
        <v>245.18</v>
      </c>
      <c r="P125" s="108">
        <v>289.8</v>
      </c>
      <c r="Q125" s="108">
        <v>239.46</v>
      </c>
      <c r="R125" s="108">
        <v>277.83999999999997</v>
      </c>
      <c r="S125" s="108">
        <v>278.45999999999998</v>
      </c>
      <c r="T125" s="108">
        <v>241.71</v>
      </c>
      <c r="U125" s="108">
        <v>236.44</v>
      </c>
      <c r="V125" s="108">
        <v>219.08</v>
      </c>
      <c r="W125" s="108">
        <v>225.72</v>
      </c>
      <c r="X125" s="108">
        <v>184.25</v>
      </c>
      <c r="Y125" s="108">
        <v>222.88</v>
      </c>
      <c r="Z125" s="108">
        <v>258.43</v>
      </c>
      <c r="AA125" s="108">
        <v>226.54</v>
      </c>
      <c r="AB125" s="108">
        <v>206.62</v>
      </c>
      <c r="AC125" s="108">
        <v>195.6</v>
      </c>
      <c r="AD125" s="108">
        <v>183.09</v>
      </c>
      <c r="AE125" s="108">
        <v>272.91000000000003</v>
      </c>
      <c r="AF125" s="108">
        <v>128.93</v>
      </c>
      <c r="AG125" s="108">
        <v>149.52000000000001</v>
      </c>
      <c r="AH125" s="108">
        <v>182.03</v>
      </c>
      <c r="AI125" s="108">
        <v>159.07</v>
      </c>
      <c r="AJ125" s="108">
        <v>148.21</v>
      </c>
      <c r="AK125" s="108">
        <v>110.89</v>
      </c>
      <c r="AL125" s="108" t="s">
        <v>11</v>
      </c>
      <c r="AM125" s="108" t="s">
        <v>11</v>
      </c>
      <c r="AN125" s="109">
        <f t="shared" si="7"/>
        <v>7486.6750000000002</v>
      </c>
      <c r="AO125" s="116" t="s">
        <v>12</v>
      </c>
      <c r="AP125" s="117" t="s">
        <v>13</v>
      </c>
    </row>
    <row r="126" spans="1:42" x14ac:dyDescent="0.2">
      <c r="A126" s="105" t="s">
        <v>216</v>
      </c>
      <c r="B126" s="105" t="s">
        <v>217</v>
      </c>
      <c r="C126" s="106">
        <v>1790.22</v>
      </c>
      <c r="D126" s="106">
        <v>1706.63</v>
      </c>
      <c r="E126" s="106">
        <v>1530.09</v>
      </c>
      <c r="F126" s="106">
        <v>1468.79</v>
      </c>
      <c r="G126" s="106">
        <v>1794.95</v>
      </c>
      <c r="H126" s="106">
        <v>2119.31</v>
      </c>
      <c r="I126" s="107">
        <v>2020.74</v>
      </c>
      <c r="J126" s="107">
        <v>2017.87</v>
      </c>
      <c r="K126" s="107">
        <v>103.12</v>
      </c>
      <c r="L126" s="107" t="s">
        <v>11</v>
      </c>
      <c r="M126" s="107" t="s">
        <v>11</v>
      </c>
      <c r="N126" s="107" t="s">
        <v>11</v>
      </c>
      <c r="O126" s="107" t="s">
        <v>11</v>
      </c>
      <c r="P126" s="107" t="s">
        <v>11</v>
      </c>
      <c r="Q126" s="107" t="s">
        <v>11</v>
      </c>
      <c r="R126" s="107" t="s">
        <v>11</v>
      </c>
      <c r="S126" s="107" t="s">
        <v>11</v>
      </c>
      <c r="T126" s="107" t="s">
        <v>11</v>
      </c>
      <c r="U126" s="107" t="s">
        <v>11</v>
      </c>
      <c r="V126" s="107" t="s">
        <v>11</v>
      </c>
      <c r="W126" s="107" t="s">
        <v>11</v>
      </c>
      <c r="X126" s="107" t="s">
        <v>11</v>
      </c>
      <c r="Y126" s="107" t="s">
        <v>11</v>
      </c>
      <c r="Z126" s="107" t="s">
        <v>11</v>
      </c>
      <c r="AA126" s="107" t="s">
        <v>11</v>
      </c>
      <c r="AB126" s="107" t="s">
        <v>11</v>
      </c>
      <c r="AC126" s="107" t="s">
        <v>11</v>
      </c>
      <c r="AD126" s="107" t="s">
        <v>11</v>
      </c>
      <c r="AE126" s="107" t="s">
        <v>11</v>
      </c>
      <c r="AF126" s="107" t="s">
        <v>11</v>
      </c>
      <c r="AG126" s="107" t="s">
        <v>11</v>
      </c>
      <c r="AH126" s="107" t="s">
        <v>11</v>
      </c>
      <c r="AI126" s="107" t="s">
        <v>11</v>
      </c>
      <c r="AJ126" s="107" t="s">
        <v>11</v>
      </c>
      <c r="AK126" s="107" t="s">
        <v>11</v>
      </c>
      <c r="AL126" s="108" t="s">
        <v>11</v>
      </c>
      <c r="AM126" s="108" t="s">
        <v>11</v>
      </c>
      <c r="AN126" s="109">
        <f t="shared" si="7"/>
        <v>14551.72</v>
      </c>
      <c r="AO126" s="110" t="s">
        <v>12</v>
      </c>
      <c r="AP126" s="111" t="s">
        <v>13</v>
      </c>
    </row>
    <row r="127" spans="1:42" x14ac:dyDescent="0.2">
      <c r="A127" s="105" t="s">
        <v>218</v>
      </c>
      <c r="B127" s="105" t="s">
        <v>219</v>
      </c>
      <c r="C127" s="106">
        <v>14.43</v>
      </c>
      <c r="D127" s="106">
        <v>120.88</v>
      </c>
      <c r="E127" s="106">
        <v>30.23</v>
      </c>
      <c r="F127" s="106">
        <v>40.700000000000003</v>
      </c>
      <c r="G127" s="106">
        <v>133.21</v>
      </c>
      <c r="H127" s="106">
        <v>56.640000000000008</v>
      </c>
      <c r="I127" s="107">
        <v>250.35</v>
      </c>
      <c r="J127" s="107">
        <v>126.29</v>
      </c>
      <c r="K127" s="107">
        <v>288.77</v>
      </c>
      <c r="L127" s="107">
        <v>8</v>
      </c>
      <c r="M127" s="107">
        <v>14.16</v>
      </c>
      <c r="N127" s="107" t="s">
        <v>11</v>
      </c>
      <c r="O127" s="107" t="s">
        <v>11</v>
      </c>
      <c r="P127" s="107" t="s">
        <v>11</v>
      </c>
      <c r="Q127" s="107" t="s">
        <v>11</v>
      </c>
      <c r="R127" s="107" t="s">
        <v>11</v>
      </c>
      <c r="S127" s="107" t="s">
        <v>11</v>
      </c>
      <c r="T127" s="107" t="s">
        <v>11</v>
      </c>
      <c r="U127" s="107" t="s">
        <v>11</v>
      </c>
      <c r="V127" s="107" t="s">
        <v>11</v>
      </c>
      <c r="W127" s="107" t="s">
        <v>11</v>
      </c>
      <c r="X127" s="107" t="s">
        <v>11</v>
      </c>
      <c r="Y127" s="107" t="s">
        <v>11</v>
      </c>
      <c r="Z127" s="107" t="s">
        <v>11</v>
      </c>
      <c r="AA127" s="107" t="s">
        <v>11</v>
      </c>
      <c r="AB127" s="107" t="s">
        <v>11</v>
      </c>
      <c r="AC127" s="107" t="s">
        <v>11</v>
      </c>
      <c r="AD127" s="107" t="s">
        <v>11</v>
      </c>
      <c r="AE127" s="107" t="s">
        <v>11</v>
      </c>
      <c r="AF127" s="107" t="s">
        <v>11</v>
      </c>
      <c r="AG127" s="107" t="s">
        <v>11</v>
      </c>
      <c r="AH127" s="107" t="s">
        <v>11</v>
      </c>
      <c r="AI127" s="107" t="s">
        <v>11</v>
      </c>
      <c r="AJ127" s="107" t="s">
        <v>11</v>
      </c>
      <c r="AK127" s="107" t="s">
        <v>11</v>
      </c>
      <c r="AL127" s="108" t="s">
        <v>11</v>
      </c>
      <c r="AM127" s="108" t="s">
        <v>11</v>
      </c>
      <c r="AN127" s="109">
        <f t="shared" si="7"/>
        <v>1083.6600000000001</v>
      </c>
      <c r="AO127" s="110" t="s">
        <v>12</v>
      </c>
      <c r="AP127" s="111" t="s">
        <v>13</v>
      </c>
    </row>
    <row r="128" spans="1:42" x14ac:dyDescent="0.2">
      <c r="A128" s="93" t="s">
        <v>220</v>
      </c>
      <c r="B128" s="94" t="s">
        <v>221</v>
      </c>
      <c r="C128" s="104">
        <v>1761.36</v>
      </c>
      <c r="D128" s="104">
        <v>1292.2</v>
      </c>
      <c r="E128" s="104">
        <v>1924.18</v>
      </c>
      <c r="F128" s="101">
        <v>1207.28</v>
      </c>
      <c r="G128" s="101">
        <v>2298.2399999999998</v>
      </c>
      <c r="H128" s="95">
        <v>2366.433081172318</v>
      </c>
      <c r="I128" s="95">
        <v>2741.7950000000001</v>
      </c>
      <c r="J128" s="95">
        <v>2039.47</v>
      </c>
      <c r="K128" s="96">
        <v>1888</v>
      </c>
      <c r="L128" s="97">
        <v>1824.4</v>
      </c>
      <c r="M128" s="97">
        <v>1239.6099999999999</v>
      </c>
      <c r="N128" s="97">
        <v>779.87</v>
      </c>
      <c r="O128" s="97">
        <v>1805.06</v>
      </c>
      <c r="P128" s="97">
        <v>1845.2</v>
      </c>
      <c r="Q128" s="97">
        <v>1676.71</v>
      </c>
      <c r="R128" s="97">
        <v>1430.14</v>
      </c>
      <c r="S128" s="97">
        <v>1375.67</v>
      </c>
      <c r="T128" s="97">
        <v>1054.3699999999999</v>
      </c>
      <c r="U128" s="97">
        <v>1603.04</v>
      </c>
      <c r="V128" s="97">
        <v>1182.42</v>
      </c>
      <c r="W128" s="97">
        <v>1345.25</v>
      </c>
      <c r="X128" s="97">
        <v>1303.03</v>
      </c>
      <c r="Y128" s="97">
        <v>1924.19</v>
      </c>
      <c r="Z128" s="97">
        <v>1368.67</v>
      </c>
      <c r="AA128" s="97">
        <v>1132.8699999999999</v>
      </c>
      <c r="AB128" s="97">
        <v>1407.17</v>
      </c>
      <c r="AC128" s="97">
        <v>1220.49</v>
      </c>
      <c r="AD128" s="97">
        <v>1600.65</v>
      </c>
      <c r="AE128" s="97">
        <v>1246.76</v>
      </c>
      <c r="AF128" s="97">
        <v>930.15</v>
      </c>
      <c r="AG128" s="97">
        <v>1130.8499999999999</v>
      </c>
      <c r="AH128" s="97">
        <v>1154.28</v>
      </c>
      <c r="AI128" s="97">
        <v>991.52</v>
      </c>
      <c r="AJ128" s="95">
        <v>872.08</v>
      </c>
      <c r="AK128" s="95">
        <v>568.25</v>
      </c>
      <c r="AL128" s="95" t="s">
        <v>11</v>
      </c>
      <c r="AM128" s="95" t="s">
        <v>11</v>
      </c>
      <c r="AN128" s="98">
        <f t="shared" si="7"/>
        <v>51531.658081172318</v>
      </c>
      <c r="AO128" s="99" t="s">
        <v>12</v>
      </c>
      <c r="AP128" s="100" t="s">
        <v>13</v>
      </c>
    </row>
    <row r="129" spans="1:42" x14ac:dyDescent="0.2">
      <c r="A129" s="93" t="s">
        <v>218</v>
      </c>
      <c r="B129" s="94" t="s">
        <v>222</v>
      </c>
      <c r="C129" s="104">
        <v>82.43</v>
      </c>
      <c r="D129" s="104">
        <v>473.15</v>
      </c>
      <c r="E129" s="104">
        <v>91.07</v>
      </c>
      <c r="F129" s="101">
        <v>22.68</v>
      </c>
      <c r="G129" s="101">
        <v>531.25</v>
      </c>
      <c r="H129" s="95">
        <v>838.88</v>
      </c>
      <c r="I129" s="95">
        <v>592.22</v>
      </c>
      <c r="J129" s="95">
        <v>332.31</v>
      </c>
      <c r="K129" s="97">
        <v>156.44</v>
      </c>
      <c r="L129" s="97">
        <v>60.98</v>
      </c>
      <c r="M129" s="97">
        <v>276.26</v>
      </c>
      <c r="N129" s="97">
        <v>91.14</v>
      </c>
      <c r="O129" s="97">
        <v>556.62</v>
      </c>
      <c r="P129" s="97">
        <v>578.34</v>
      </c>
      <c r="Q129" s="97">
        <v>387.68</v>
      </c>
      <c r="R129" s="97">
        <v>626.04999999999995</v>
      </c>
      <c r="S129" s="97">
        <v>820.52</v>
      </c>
      <c r="T129" s="97">
        <v>724.77</v>
      </c>
      <c r="U129" s="97">
        <v>478.64</v>
      </c>
      <c r="V129" s="97">
        <v>170.69</v>
      </c>
      <c r="W129" s="97">
        <v>126.94</v>
      </c>
      <c r="X129" s="97">
        <v>261.81</v>
      </c>
      <c r="Y129" s="97">
        <v>1065.26</v>
      </c>
      <c r="Z129" s="97">
        <v>729.94</v>
      </c>
      <c r="AA129" s="97">
        <v>790.48</v>
      </c>
      <c r="AB129" s="97">
        <v>713.39</v>
      </c>
      <c r="AC129" s="97">
        <v>979.07</v>
      </c>
      <c r="AD129" s="97">
        <v>406.56</v>
      </c>
      <c r="AE129" s="97">
        <v>339</v>
      </c>
      <c r="AF129" s="97">
        <v>388.15</v>
      </c>
      <c r="AG129" s="97">
        <v>590.91</v>
      </c>
      <c r="AH129" s="97">
        <v>992.48</v>
      </c>
      <c r="AI129" s="97">
        <v>779.43</v>
      </c>
      <c r="AJ129" s="95">
        <v>306.81</v>
      </c>
      <c r="AK129" s="95">
        <v>216.57</v>
      </c>
      <c r="AL129" s="95" t="s">
        <v>11</v>
      </c>
      <c r="AM129" s="95" t="s">
        <v>11</v>
      </c>
      <c r="AN129" s="98">
        <f t="shared" si="7"/>
        <v>16578.919999999998</v>
      </c>
      <c r="AO129" s="99" t="s">
        <v>12</v>
      </c>
      <c r="AP129" s="100" t="s">
        <v>13</v>
      </c>
    </row>
    <row r="130" spans="1:42" x14ac:dyDescent="0.2">
      <c r="A130" s="93" t="s">
        <v>223</v>
      </c>
      <c r="B130" s="93" t="s">
        <v>11</v>
      </c>
      <c r="C130" s="101">
        <v>0</v>
      </c>
      <c r="D130" s="101">
        <v>0</v>
      </c>
      <c r="E130" s="101">
        <v>0</v>
      </c>
      <c r="F130" s="101">
        <v>0</v>
      </c>
      <c r="G130" s="101">
        <v>0</v>
      </c>
      <c r="H130" s="101">
        <v>0</v>
      </c>
      <c r="I130" s="97">
        <v>0</v>
      </c>
      <c r="J130" s="97">
        <v>0</v>
      </c>
      <c r="K130" s="97">
        <v>0</v>
      </c>
      <c r="L130" s="97">
        <v>0</v>
      </c>
      <c r="M130" s="97">
        <v>0</v>
      </c>
      <c r="N130" s="97">
        <v>0</v>
      </c>
      <c r="O130" s="97">
        <v>0</v>
      </c>
      <c r="P130" s="97">
        <v>0</v>
      </c>
      <c r="Q130" s="97" t="s">
        <v>114</v>
      </c>
      <c r="R130" s="97" t="s">
        <v>114</v>
      </c>
      <c r="S130" s="97" t="s">
        <v>114</v>
      </c>
      <c r="T130" s="97" t="s">
        <v>114</v>
      </c>
      <c r="U130" s="97" t="s">
        <v>114</v>
      </c>
      <c r="V130" s="97">
        <v>0</v>
      </c>
      <c r="W130" s="97">
        <v>0</v>
      </c>
      <c r="X130" s="97" t="s">
        <v>114</v>
      </c>
      <c r="Y130" s="97">
        <v>0</v>
      </c>
      <c r="Z130" s="97">
        <v>0</v>
      </c>
      <c r="AA130" s="97" t="s">
        <v>114</v>
      </c>
      <c r="AB130" s="97" t="s">
        <v>114</v>
      </c>
      <c r="AC130" s="97" t="s">
        <v>114</v>
      </c>
      <c r="AD130" s="97">
        <v>7.87</v>
      </c>
      <c r="AE130" s="97">
        <v>8</v>
      </c>
      <c r="AF130" s="97">
        <v>6.45</v>
      </c>
      <c r="AG130" s="97">
        <v>11</v>
      </c>
      <c r="AH130" s="97">
        <v>56</v>
      </c>
      <c r="AI130" s="97">
        <v>114</v>
      </c>
      <c r="AJ130" s="95" t="s">
        <v>11</v>
      </c>
      <c r="AK130" s="95" t="s">
        <v>11</v>
      </c>
      <c r="AL130" s="95" t="s">
        <v>11</v>
      </c>
      <c r="AM130" s="95" t="s">
        <v>11</v>
      </c>
      <c r="AN130" s="98">
        <f t="shared" si="7"/>
        <v>203.32</v>
      </c>
      <c r="AO130" s="99" t="s">
        <v>12</v>
      </c>
      <c r="AP130" s="100" t="s">
        <v>13</v>
      </c>
    </row>
    <row r="131" spans="1:42" x14ac:dyDescent="0.2">
      <c r="A131" s="105" t="s">
        <v>218</v>
      </c>
      <c r="B131" s="105" t="s">
        <v>11</v>
      </c>
      <c r="C131" s="106">
        <v>0</v>
      </c>
      <c r="D131" s="106">
        <v>0</v>
      </c>
      <c r="E131" s="106">
        <v>0</v>
      </c>
      <c r="F131" s="106">
        <v>0</v>
      </c>
      <c r="G131" s="106">
        <v>0</v>
      </c>
      <c r="H131" s="106">
        <v>0</v>
      </c>
      <c r="I131" s="107">
        <v>0</v>
      </c>
      <c r="J131" s="107">
        <v>0</v>
      </c>
      <c r="K131" s="107">
        <v>0</v>
      </c>
      <c r="L131" s="107">
        <v>191.05</v>
      </c>
      <c r="M131" s="107">
        <v>0</v>
      </c>
      <c r="N131" s="107">
        <v>0</v>
      </c>
      <c r="O131" s="107">
        <v>1.1599999999999999</v>
      </c>
      <c r="P131" s="107">
        <v>71.73</v>
      </c>
      <c r="Q131" s="107">
        <v>5.5</v>
      </c>
      <c r="R131" s="107">
        <v>6.97</v>
      </c>
      <c r="S131" s="107">
        <v>11.4</v>
      </c>
      <c r="T131" s="107">
        <v>11.23</v>
      </c>
      <c r="U131" s="107">
        <v>5</v>
      </c>
      <c r="V131" s="107">
        <v>4.58</v>
      </c>
      <c r="W131" s="107">
        <v>551.80999999999995</v>
      </c>
      <c r="X131" s="107">
        <v>146.91999999999999</v>
      </c>
      <c r="Y131" s="107">
        <v>5.13</v>
      </c>
      <c r="Z131" s="107">
        <v>238.55</v>
      </c>
      <c r="AA131" s="107">
        <v>0</v>
      </c>
      <c r="AB131" s="107">
        <v>344.37</v>
      </c>
      <c r="AC131" s="107" t="s">
        <v>114</v>
      </c>
      <c r="AD131" s="107" t="s">
        <v>114</v>
      </c>
      <c r="AE131" s="107" t="s">
        <v>114</v>
      </c>
      <c r="AF131" s="107" t="s">
        <v>114</v>
      </c>
      <c r="AG131" s="107" t="s">
        <v>114</v>
      </c>
      <c r="AH131" s="107" t="s">
        <v>114</v>
      </c>
      <c r="AI131" s="108" t="s">
        <v>114</v>
      </c>
      <c r="AJ131" s="108" t="s">
        <v>11</v>
      </c>
      <c r="AK131" s="108" t="s">
        <v>11</v>
      </c>
      <c r="AL131" s="108" t="s">
        <v>11</v>
      </c>
      <c r="AM131" s="108" t="s">
        <v>11</v>
      </c>
      <c r="AN131" s="109">
        <f t="shared" si="7"/>
        <v>1595.4</v>
      </c>
      <c r="AO131" s="110" t="s">
        <v>12</v>
      </c>
      <c r="AP131" s="111" t="s">
        <v>13</v>
      </c>
    </row>
    <row r="132" spans="1:42" x14ac:dyDescent="0.2">
      <c r="A132" s="105" t="s">
        <v>224</v>
      </c>
      <c r="B132" s="105" t="s">
        <v>225</v>
      </c>
      <c r="C132" s="106">
        <v>5.5</v>
      </c>
      <c r="D132" s="106">
        <v>6</v>
      </c>
      <c r="E132" s="106">
        <v>5.5</v>
      </c>
      <c r="F132" s="106">
        <v>6</v>
      </c>
      <c r="G132" s="106">
        <v>6</v>
      </c>
      <c r="H132" s="106">
        <v>6</v>
      </c>
      <c r="I132" s="107">
        <v>6</v>
      </c>
      <c r="J132" s="107">
        <v>41.59</v>
      </c>
      <c r="K132" s="107">
        <v>47.63</v>
      </c>
      <c r="L132" s="107">
        <v>30.38</v>
      </c>
      <c r="M132" s="107">
        <v>25.65</v>
      </c>
      <c r="N132" s="107">
        <v>16.95</v>
      </c>
      <c r="O132" s="107">
        <v>44.93</v>
      </c>
      <c r="P132" s="107">
        <v>37.71</v>
      </c>
      <c r="Q132" s="107">
        <v>22.68</v>
      </c>
      <c r="R132" s="107">
        <v>26.22</v>
      </c>
      <c r="S132" s="107">
        <v>27.59</v>
      </c>
      <c r="T132" s="107">
        <v>21.75</v>
      </c>
      <c r="U132" s="107">
        <v>35.130000000000003</v>
      </c>
      <c r="V132" s="107">
        <v>22.38</v>
      </c>
      <c r="W132" s="107">
        <v>20.52</v>
      </c>
      <c r="X132" s="107">
        <v>26.85</v>
      </c>
      <c r="Y132" s="107">
        <v>62.34</v>
      </c>
      <c r="Z132" s="107">
        <v>63</v>
      </c>
      <c r="AA132" s="107">
        <v>69.2</v>
      </c>
      <c r="AB132" s="107">
        <v>46.67</v>
      </c>
      <c r="AC132" s="107">
        <v>39.64</v>
      </c>
      <c r="AD132" s="107">
        <v>34.82</v>
      </c>
      <c r="AE132" s="107">
        <v>32</v>
      </c>
      <c r="AF132" s="107">
        <v>29.37</v>
      </c>
      <c r="AG132" s="107">
        <v>22</v>
      </c>
      <c r="AH132" s="108">
        <v>24</v>
      </c>
      <c r="AI132" s="108">
        <v>12</v>
      </c>
      <c r="AJ132" s="108" t="s">
        <v>11</v>
      </c>
      <c r="AK132" s="108" t="s">
        <v>11</v>
      </c>
      <c r="AL132" s="108" t="s">
        <v>11</v>
      </c>
      <c r="AM132" s="108" t="s">
        <v>11</v>
      </c>
      <c r="AN132" s="109">
        <f t="shared" si="7"/>
        <v>924</v>
      </c>
      <c r="AO132" s="110" t="s">
        <v>12</v>
      </c>
      <c r="AP132" s="111" t="s">
        <v>13</v>
      </c>
    </row>
    <row r="133" spans="1:42" x14ac:dyDescent="0.2">
      <c r="A133" s="105" t="s">
        <v>226</v>
      </c>
      <c r="B133" s="105" t="s">
        <v>227</v>
      </c>
      <c r="C133" s="106">
        <v>6464.37</v>
      </c>
      <c r="D133" s="106">
        <v>9159.7800000000007</v>
      </c>
      <c r="E133" s="106">
        <v>8930.11</v>
      </c>
      <c r="F133" s="106">
        <v>5871.23</v>
      </c>
      <c r="G133" s="106">
        <v>3983.6000000000004</v>
      </c>
      <c r="H133" s="106">
        <v>7372.37</v>
      </c>
      <c r="I133" s="107">
        <v>10936.24</v>
      </c>
      <c r="J133" s="107">
        <v>7689.61</v>
      </c>
      <c r="K133" s="108">
        <v>6579.78</v>
      </c>
      <c r="L133" s="108">
        <v>5909.75</v>
      </c>
      <c r="M133" s="108">
        <v>5727.98</v>
      </c>
      <c r="N133" s="108">
        <v>3879.27</v>
      </c>
      <c r="O133" s="108">
        <v>5909.93</v>
      </c>
      <c r="P133" s="108">
        <v>6568.34</v>
      </c>
      <c r="Q133" s="108">
        <v>5314.94</v>
      </c>
      <c r="R133" s="108">
        <v>5552.39</v>
      </c>
      <c r="S133" s="108">
        <v>6135.47</v>
      </c>
      <c r="T133" s="108">
        <v>3929.73</v>
      </c>
      <c r="U133" s="108">
        <v>5695.23</v>
      </c>
      <c r="V133" s="108">
        <v>6568.33</v>
      </c>
      <c r="W133" s="108">
        <v>6149</v>
      </c>
      <c r="X133" s="108">
        <v>4218.43</v>
      </c>
      <c r="Y133" s="108">
        <v>5883.91</v>
      </c>
      <c r="Z133" s="108">
        <v>5756.59</v>
      </c>
      <c r="AA133" s="108">
        <v>6344.3</v>
      </c>
      <c r="AB133" s="108">
        <v>5135.55</v>
      </c>
      <c r="AC133" s="108">
        <v>5742.27</v>
      </c>
      <c r="AD133" s="108">
        <v>4968.91</v>
      </c>
      <c r="AE133" s="108">
        <v>3832.12</v>
      </c>
      <c r="AF133" s="108">
        <v>2463.7600000000002</v>
      </c>
      <c r="AG133" s="108">
        <v>1842.31</v>
      </c>
      <c r="AH133" s="108">
        <v>2394</v>
      </c>
      <c r="AI133" s="108" t="s">
        <v>11</v>
      </c>
      <c r="AJ133" s="108" t="s">
        <v>11</v>
      </c>
      <c r="AK133" s="108" t="s">
        <v>11</v>
      </c>
      <c r="AL133" s="108" t="s">
        <v>11</v>
      </c>
      <c r="AM133" s="108" t="s">
        <v>11</v>
      </c>
      <c r="AN133" s="109">
        <f t="shared" si="7"/>
        <v>182909.59999999998</v>
      </c>
      <c r="AO133" s="110" t="s">
        <v>12</v>
      </c>
      <c r="AP133" s="111" t="s">
        <v>13</v>
      </c>
    </row>
    <row r="134" spans="1:42" x14ac:dyDescent="0.2">
      <c r="A134" s="105" t="s">
        <v>228</v>
      </c>
      <c r="B134" s="105" t="s">
        <v>229</v>
      </c>
      <c r="C134" s="106">
        <v>951.46</v>
      </c>
      <c r="D134" s="106">
        <v>928.25</v>
      </c>
      <c r="E134" s="106">
        <v>904.48</v>
      </c>
      <c r="F134" s="113">
        <v>839.82000000000016</v>
      </c>
      <c r="G134" s="106">
        <v>779.10999999999979</v>
      </c>
      <c r="H134" s="106">
        <v>429.77</v>
      </c>
      <c r="I134" s="107">
        <v>231.9</v>
      </c>
      <c r="J134" s="115">
        <v>349.92</v>
      </c>
      <c r="K134" s="107">
        <v>1110.44</v>
      </c>
      <c r="L134" s="107">
        <v>1011.05</v>
      </c>
      <c r="M134" s="107">
        <v>653.9</v>
      </c>
      <c r="N134" s="107">
        <v>799.99</v>
      </c>
      <c r="O134" s="107">
        <v>741.91</v>
      </c>
      <c r="P134" s="107">
        <v>713.84</v>
      </c>
      <c r="Q134" s="107">
        <v>649.91</v>
      </c>
      <c r="R134" s="107">
        <v>679.47</v>
      </c>
      <c r="S134" s="107">
        <v>641.91</v>
      </c>
      <c r="T134" s="107">
        <v>444.66</v>
      </c>
      <c r="U134" s="107">
        <v>597.12</v>
      </c>
      <c r="V134" s="107">
        <v>377.59</v>
      </c>
      <c r="W134" s="107">
        <v>662.84</v>
      </c>
      <c r="X134" s="107">
        <v>588.83000000000004</v>
      </c>
      <c r="Y134" s="107">
        <v>709.96</v>
      </c>
      <c r="Z134" s="107">
        <v>601.74</v>
      </c>
      <c r="AA134" s="108">
        <v>425.93</v>
      </c>
      <c r="AB134" s="108">
        <v>196.63</v>
      </c>
      <c r="AC134" s="108">
        <v>135.13</v>
      </c>
      <c r="AD134" s="108">
        <v>37.880000000000003</v>
      </c>
      <c r="AE134" s="108">
        <v>92.39</v>
      </c>
      <c r="AF134" s="108">
        <v>6.23</v>
      </c>
      <c r="AG134" s="108">
        <v>15.94</v>
      </c>
      <c r="AH134" s="108" t="s">
        <v>11</v>
      </c>
      <c r="AI134" s="108" t="s">
        <v>11</v>
      </c>
      <c r="AJ134" s="108" t="s">
        <v>11</v>
      </c>
      <c r="AK134" s="108" t="s">
        <v>11</v>
      </c>
      <c r="AL134" s="108" t="s">
        <v>11</v>
      </c>
      <c r="AM134" s="108" t="s">
        <v>11</v>
      </c>
      <c r="AN134" s="109">
        <f t="shared" si="7"/>
        <v>17310.000000000004</v>
      </c>
      <c r="AO134" s="110" t="s">
        <v>12</v>
      </c>
      <c r="AP134" s="111" t="s">
        <v>13</v>
      </c>
    </row>
    <row r="135" spans="1:42" x14ac:dyDescent="0.2">
      <c r="A135" s="105" t="s">
        <v>230</v>
      </c>
      <c r="B135" s="105" t="s">
        <v>231</v>
      </c>
      <c r="C135" s="106">
        <v>0</v>
      </c>
      <c r="D135" s="106">
        <v>0.5</v>
      </c>
      <c r="E135" s="106">
        <v>14.85</v>
      </c>
      <c r="F135" s="113">
        <v>20.3</v>
      </c>
      <c r="G135" s="106">
        <v>173.58</v>
      </c>
      <c r="H135" s="106">
        <v>0</v>
      </c>
      <c r="I135" s="107">
        <v>0.5</v>
      </c>
      <c r="J135" s="115">
        <v>219.48</v>
      </c>
      <c r="K135" s="107">
        <v>632.04</v>
      </c>
      <c r="L135" s="107" t="s">
        <v>11</v>
      </c>
      <c r="M135" s="107" t="s">
        <v>11</v>
      </c>
      <c r="N135" s="107" t="s">
        <v>11</v>
      </c>
      <c r="O135" s="107" t="s">
        <v>11</v>
      </c>
      <c r="P135" s="107" t="s">
        <v>11</v>
      </c>
      <c r="Q135" s="107" t="s">
        <v>11</v>
      </c>
      <c r="R135" s="107" t="s">
        <v>11</v>
      </c>
      <c r="S135" s="107" t="s">
        <v>11</v>
      </c>
      <c r="T135" s="107" t="s">
        <v>11</v>
      </c>
      <c r="U135" s="107" t="s">
        <v>11</v>
      </c>
      <c r="V135" s="107" t="s">
        <v>11</v>
      </c>
      <c r="W135" s="107" t="s">
        <v>11</v>
      </c>
      <c r="X135" s="107" t="s">
        <v>11</v>
      </c>
      <c r="Y135" s="107" t="s">
        <v>11</v>
      </c>
      <c r="Z135" s="108" t="s">
        <v>11</v>
      </c>
      <c r="AA135" s="108" t="s">
        <v>11</v>
      </c>
      <c r="AB135" s="108" t="s">
        <v>11</v>
      </c>
      <c r="AC135" s="108" t="s">
        <v>11</v>
      </c>
      <c r="AD135" s="108" t="s">
        <v>11</v>
      </c>
      <c r="AE135" s="108" t="s">
        <v>11</v>
      </c>
      <c r="AF135" s="108" t="s">
        <v>11</v>
      </c>
      <c r="AG135" s="108" t="s">
        <v>11</v>
      </c>
      <c r="AH135" s="108" t="s">
        <v>11</v>
      </c>
      <c r="AI135" s="108" t="s">
        <v>11</v>
      </c>
      <c r="AJ135" s="108" t="s">
        <v>11</v>
      </c>
      <c r="AK135" s="108" t="s">
        <v>11</v>
      </c>
      <c r="AL135" s="108" t="s">
        <v>11</v>
      </c>
      <c r="AM135" s="108" t="s">
        <v>11</v>
      </c>
      <c r="AN135" s="109">
        <f t="shared" si="7"/>
        <v>1061.25</v>
      </c>
      <c r="AO135" s="110" t="s">
        <v>12</v>
      </c>
      <c r="AP135" s="111" t="s">
        <v>13</v>
      </c>
    </row>
    <row r="136" spans="1:42" x14ac:dyDescent="0.2">
      <c r="A136" s="105" t="s">
        <v>232</v>
      </c>
      <c r="B136" s="105" t="s">
        <v>233</v>
      </c>
      <c r="C136" s="106">
        <v>3134.26</v>
      </c>
      <c r="D136" s="106">
        <v>3156.32</v>
      </c>
      <c r="E136" s="106">
        <v>3259.46</v>
      </c>
      <c r="F136" s="106">
        <v>3179.9599999999991</v>
      </c>
      <c r="G136" s="106">
        <v>3200.92</v>
      </c>
      <c r="H136" s="106">
        <v>4392.6900000000005</v>
      </c>
      <c r="I136" s="107">
        <v>4683.49</v>
      </c>
      <c r="J136" s="115">
        <v>4220.24</v>
      </c>
      <c r="K136" s="107">
        <v>5415.2</v>
      </c>
      <c r="L136" s="107">
        <v>5064.38</v>
      </c>
      <c r="M136" s="107">
        <v>5535.27</v>
      </c>
      <c r="N136" s="107">
        <v>4935.54</v>
      </c>
      <c r="O136" s="107">
        <v>4564.09</v>
      </c>
      <c r="P136" s="107">
        <v>4424.6099999999997</v>
      </c>
      <c r="Q136" s="107">
        <v>3373.35</v>
      </c>
      <c r="R136" s="107">
        <v>3750.53</v>
      </c>
      <c r="S136" s="107">
        <v>3562.78</v>
      </c>
      <c r="T136" s="107">
        <v>3341.72</v>
      </c>
      <c r="U136" s="107">
        <v>3267.26</v>
      </c>
      <c r="V136" s="107">
        <v>2672.44</v>
      </c>
      <c r="W136" s="107">
        <v>2220.21</v>
      </c>
      <c r="X136" s="107">
        <v>1984.5</v>
      </c>
      <c r="Y136" s="107">
        <v>1624.9</v>
      </c>
      <c r="Z136" s="108">
        <v>24.7</v>
      </c>
      <c r="AA136" s="108" t="s">
        <v>11</v>
      </c>
      <c r="AB136" s="108" t="s">
        <v>11</v>
      </c>
      <c r="AC136" s="108" t="s">
        <v>11</v>
      </c>
      <c r="AD136" s="108" t="s">
        <v>11</v>
      </c>
      <c r="AE136" s="108" t="s">
        <v>11</v>
      </c>
      <c r="AF136" s="108" t="s">
        <v>11</v>
      </c>
      <c r="AG136" s="108" t="s">
        <v>11</v>
      </c>
      <c r="AH136" s="108" t="s">
        <v>11</v>
      </c>
      <c r="AI136" s="108" t="s">
        <v>11</v>
      </c>
      <c r="AJ136" s="108" t="s">
        <v>11</v>
      </c>
      <c r="AK136" s="108" t="s">
        <v>11</v>
      </c>
      <c r="AL136" s="108" t="s">
        <v>11</v>
      </c>
      <c r="AM136" s="108" t="s">
        <v>11</v>
      </c>
      <c r="AN136" s="109">
        <f t="shared" si="7"/>
        <v>84988.819999999992</v>
      </c>
      <c r="AO136" s="110" t="s">
        <v>12</v>
      </c>
      <c r="AP136" s="111" t="s">
        <v>13</v>
      </c>
    </row>
    <row r="137" spans="1:42" x14ac:dyDescent="0.2">
      <c r="A137" s="93" t="s">
        <v>234</v>
      </c>
      <c r="B137" s="93" t="s">
        <v>235</v>
      </c>
      <c r="C137" s="101">
        <v>0</v>
      </c>
      <c r="D137" s="101">
        <v>0</v>
      </c>
      <c r="E137" s="101">
        <v>0</v>
      </c>
      <c r="F137" s="101">
        <v>0</v>
      </c>
      <c r="G137" s="101">
        <v>110.84</v>
      </c>
      <c r="H137" s="95" t="s">
        <v>11</v>
      </c>
      <c r="I137" s="95" t="s">
        <v>11</v>
      </c>
      <c r="J137" s="95" t="s">
        <v>11</v>
      </c>
      <c r="K137" s="95" t="s">
        <v>11</v>
      </c>
      <c r="L137" s="95" t="s">
        <v>11</v>
      </c>
      <c r="M137" s="95" t="s">
        <v>11</v>
      </c>
      <c r="N137" s="95" t="s">
        <v>11</v>
      </c>
      <c r="O137" s="95" t="s">
        <v>11</v>
      </c>
      <c r="P137" s="95" t="s">
        <v>11</v>
      </c>
      <c r="Q137" s="95" t="s">
        <v>11</v>
      </c>
      <c r="R137" s="95" t="s">
        <v>11</v>
      </c>
      <c r="S137" s="95" t="s">
        <v>11</v>
      </c>
      <c r="T137" s="95" t="s">
        <v>11</v>
      </c>
      <c r="U137" s="95" t="s">
        <v>11</v>
      </c>
      <c r="V137" s="95" t="s">
        <v>11</v>
      </c>
      <c r="W137" s="95" t="s">
        <v>11</v>
      </c>
      <c r="X137" s="95" t="s">
        <v>11</v>
      </c>
      <c r="Y137" s="95" t="s">
        <v>11</v>
      </c>
      <c r="Z137" s="95" t="s">
        <v>11</v>
      </c>
      <c r="AA137" s="95" t="s">
        <v>11</v>
      </c>
      <c r="AB137" s="95" t="s">
        <v>11</v>
      </c>
      <c r="AC137" s="95" t="s">
        <v>11</v>
      </c>
      <c r="AD137" s="95" t="s">
        <v>11</v>
      </c>
      <c r="AE137" s="95" t="s">
        <v>11</v>
      </c>
      <c r="AF137" s="95" t="s">
        <v>11</v>
      </c>
      <c r="AG137" s="95" t="s">
        <v>11</v>
      </c>
      <c r="AH137" s="95" t="s">
        <v>11</v>
      </c>
      <c r="AI137" s="95" t="s">
        <v>11</v>
      </c>
      <c r="AJ137" s="95" t="s">
        <v>11</v>
      </c>
      <c r="AK137" s="95" t="s">
        <v>11</v>
      </c>
      <c r="AL137" s="95" t="s">
        <v>11</v>
      </c>
      <c r="AM137" s="95" t="s">
        <v>11</v>
      </c>
      <c r="AN137" s="98">
        <f t="shared" si="7"/>
        <v>110.84</v>
      </c>
      <c r="AO137" s="99" t="s">
        <v>12</v>
      </c>
      <c r="AP137" s="100" t="s">
        <v>13</v>
      </c>
    </row>
    <row r="138" spans="1:42" x14ac:dyDescent="0.2">
      <c r="A138" s="93" t="s">
        <v>220</v>
      </c>
      <c r="B138" s="93" t="s">
        <v>236</v>
      </c>
      <c r="C138" s="101">
        <v>2219.27</v>
      </c>
      <c r="D138" s="101">
        <v>2402.86</v>
      </c>
      <c r="E138" s="101">
        <v>1609.78</v>
      </c>
      <c r="F138" s="101">
        <v>1943.6899999999998</v>
      </c>
      <c r="G138" s="101">
        <v>1355.68</v>
      </c>
      <c r="H138" s="101">
        <v>1657.9600000000003</v>
      </c>
      <c r="I138" s="97">
        <v>1580.46</v>
      </c>
      <c r="J138" s="96">
        <v>2114.73</v>
      </c>
      <c r="K138" s="97">
        <v>2211.11</v>
      </c>
      <c r="L138" s="97">
        <v>1745.09</v>
      </c>
      <c r="M138" s="97">
        <v>1390.63</v>
      </c>
      <c r="N138" s="97">
        <v>1050.53</v>
      </c>
      <c r="O138" s="97">
        <v>1548.98</v>
      </c>
      <c r="P138" s="97">
        <v>1371.67</v>
      </c>
      <c r="Q138" s="97">
        <v>1046.72</v>
      </c>
      <c r="R138" s="97">
        <v>1062.5899999999999</v>
      </c>
      <c r="S138" s="97">
        <v>739.64</v>
      </c>
      <c r="T138" s="97">
        <v>1044.05</v>
      </c>
      <c r="U138" s="97">
        <v>881.96</v>
      </c>
      <c r="V138" s="97">
        <v>650.69000000000005</v>
      </c>
      <c r="W138" s="97">
        <v>300.61</v>
      </c>
      <c r="X138" s="97">
        <v>239.76</v>
      </c>
      <c r="Y138" s="97">
        <v>26.17</v>
      </c>
      <c r="Z138" s="95" t="s">
        <v>11</v>
      </c>
      <c r="AA138" s="95" t="s">
        <v>11</v>
      </c>
      <c r="AB138" s="95" t="s">
        <v>11</v>
      </c>
      <c r="AC138" s="95" t="s">
        <v>11</v>
      </c>
      <c r="AD138" s="95" t="s">
        <v>11</v>
      </c>
      <c r="AE138" s="95" t="s">
        <v>11</v>
      </c>
      <c r="AF138" s="95" t="s">
        <v>11</v>
      </c>
      <c r="AG138" s="95" t="s">
        <v>11</v>
      </c>
      <c r="AH138" s="95" t="s">
        <v>11</v>
      </c>
      <c r="AI138" s="95" t="s">
        <v>11</v>
      </c>
      <c r="AJ138" s="95" t="s">
        <v>11</v>
      </c>
      <c r="AK138" s="95" t="s">
        <v>11</v>
      </c>
      <c r="AL138" s="95" t="s">
        <v>11</v>
      </c>
      <c r="AM138" s="95" t="s">
        <v>11</v>
      </c>
      <c r="AN138" s="98">
        <f t="shared" si="7"/>
        <v>30194.629999999997</v>
      </c>
      <c r="AO138" s="99" t="s">
        <v>12</v>
      </c>
      <c r="AP138" s="100" t="s">
        <v>13</v>
      </c>
    </row>
    <row r="139" spans="1:42" x14ac:dyDescent="0.2">
      <c r="A139" s="93" t="s">
        <v>237</v>
      </c>
      <c r="B139" s="93" t="s">
        <v>238</v>
      </c>
      <c r="C139" s="101">
        <v>0</v>
      </c>
      <c r="D139" s="101">
        <v>0</v>
      </c>
      <c r="E139" s="101">
        <v>0</v>
      </c>
      <c r="F139" s="101">
        <v>0</v>
      </c>
      <c r="G139" s="101">
        <v>0</v>
      </c>
      <c r="H139" s="101">
        <v>0</v>
      </c>
      <c r="I139" s="97">
        <v>0</v>
      </c>
      <c r="J139" s="96">
        <v>0</v>
      </c>
      <c r="K139" s="97">
        <v>0</v>
      </c>
      <c r="L139" s="97">
        <v>0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0</v>
      </c>
      <c r="S139" s="97">
        <v>0</v>
      </c>
      <c r="T139" s="97">
        <v>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5">
        <v>0</v>
      </c>
      <c r="AA139" s="95">
        <v>0</v>
      </c>
      <c r="AB139" s="95">
        <v>0</v>
      </c>
      <c r="AC139" s="95">
        <v>0</v>
      </c>
      <c r="AD139" s="95">
        <v>0</v>
      </c>
      <c r="AE139" s="95">
        <v>0</v>
      </c>
      <c r="AF139" s="95">
        <v>0</v>
      </c>
      <c r="AG139" s="95">
        <v>0</v>
      </c>
      <c r="AH139" s="95">
        <v>0</v>
      </c>
      <c r="AI139" s="95">
        <v>0</v>
      </c>
      <c r="AJ139" s="95">
        <v>0</v>
      </c>
      <c r="AK139" s="95">
        <v>0</v>
      </c>
      <c r="AL139" s="95">
        <v>0</v>
      </c>
      <c r="AM139" s="95">
        <v>0</v>
      </c>
      <c r="AN139" s="98">
        <f t="shared" si="7"/>
        <v>0</v>
      </c>
      <c r="AO139" s="99" t="s">
        <v>12</v>
      </c>
      <c r="AP139" s="100" t="s">
        <v>13</v>
      </c>
    </row>
    <row r="140" spans="1:42" x14ac:dyDescent="0.2">
      <c r="A140" s="93" t="s">
        <v>239</v>
      </c>
      <c r="B140" s="93" t="s">
        <v>240</v>
      </c>
      <c r="C140" s="101">
        <v>0</v>
      </c>
      <c r="D140" s="101">
        <v>0</v>
      </c>
      <c r="E140" s="101">
        <v>0</v>
      </c>
      <c r="F140" s="101">
        <v>0</v>
      </c>
      <c r="G140" s="101">
        <v>0</v>
      </c>
      <c r="H140" s="101" t="s">
        <v>241</v>
      </c>
      <c r="I140" s="97">
        <v>0</v>
      </c>
      <c r="J140" s="97">
        <v>0</v>
      </c>
      <c r="K140" s="97">
        <v>0</v>
      </c>
      <c r="L140" s="97">
        <v>0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0</v>
      </c>
      <c r="S140" s="97">
        <v>0</v>
      </c>
      <c r="T140" s="97">
        <v>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  <c r="AC140" s="97">
        <v>0</v>
      </c>
      <c r="AD140" s="97">
        <v>0</v>
      </c>
      <c r="AE140" s="97">
        <v>0</v>
      </c>
      <c r="AF140" s="97">
        <v>0</v>
      </c>
      <c r="AG140" s="97">
        <v>0</v>
      </c>
      <c r="AH140" s="97">
        <v>0</v>
      </c>
      <c r="AI140" s="97">
        <v>0</v>
      </c>
      <c r="AJ140" s="95">
        <v>0</v>
      </c>
      <c r="AK140" s="95">
        <v>0</v>
      </c>
      <c r="AL140" s="95">
        <v>0</v>
      </c>
      <c r="AM140" s="95">
        <v>0</v>
      </c>
      <c r="AN140" s="98">
        <f t="shared" si="7"/>
        <v>0</v>
      </c>
      <c r="AO140" s="99" t="s">
        <v>12</v>
      </c>
      <c r="AP140" s="100" t="s">
        <v>13</v>
      </c>
    </row>
    <row r="141" spans="1:42" x14ac:dyDescent="0.2">
      <c r="A141" s="93" t="s">
        <v>242</v>
      </c>
      <c r="B141" s="93" t="s">
        <v>243</v>
      </c>
      <c r="C141" s="101">
        <v>0</v>
      </c>
      <c r="D141" s="101">
        <v>0</v>
      </c>
      <c r="E141" s="101">
        <v>0</v>
      </c>
      <c r="F141" s="101">
        <v>0</v>
      </c>
      <c r="G141" s="101">
        <v>0</v>
      </c>
      <c r="H141" s="101">
        <v>0</v>
      </c>
      <c r="I141" s="97">
        <v>0</v>
      </c>
      <c r="J141" s="97">
        <v>0</v>
      </c>
      <c r="K141" s="97">
        <v>0</v>
      </c>
      <c r="L141" s="97">
        <v>0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0</v>
      </c>
      <c r="S141" s="97">
        <v>0</v>
      </c>
      <c r="T141" s="97">
        <v>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  <c r="AC141" s="97">
        <v>0</v>
      </c>
      <c r="AD141" s="97">
        <v>0</v>
      </c>
      <c r="AE141" s="97">
        <v>0</v>
      </c>
      <c r="AF141" s="97">
        <v>0</v>
      </c>
      <c r="AG141" s="97">
        <v>0</v>
      </c>
      <c r="AH141" s="97">
        <v>0</v>
      </c>
      <c r="AI141" s="95">
        <v>0</v>
      </c>
      <c r="AJ141" s="95">
        <v>0</v>
      </c>
      <c r="AK141" s="95">
        <v>0</v>
      </c>
      <c r="AL141" s="95">
        <v>0</v>
      </c>
      <c r="AM141" s="95">
        <v>0</v>
      </c>
      <c r="AN141" s="98">
        <f t="shared" si="7"/>
        <v>0</v>
      </c>
      <c r="AO141" s="99" t="s">
        <v>12</v>
      </c>
      <c r="AP141" s="100" t="s">
        <v>13</v>
      </c>
    </row>
    <row r="142" spans="1:42" x14ac:dyDescent="0.2">
      <c r="A142" s="105" t="s">
        <v>244</v>
      </c>
      <c r="B142" s="105" t="s">
        <v>243</v>
      </c>
      <c r="C142" s="106">
        <v>0</v>
      </c>
      <c r="D142" s="106">
        <v>0</v>
      </c>
      <c r="E142" s="106">
        <v>0</v>
      </c>
      <c r="F142" s="106">
        <v>0</v>
      </c>
      <c r="G142" s="106">
        <v>0</v>
      </c>
      <c r="H142" s="106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07">
        <v>0</v>
      </c>
      <c r="Q142" s="107">
        <v>0</v>
      </c>
      <c r="R142" s="107">
        <v>0</v>
      </c>
      <c r="S142" s="107">
        <v>0</v>
      </c>
      <c r="T142" s="107">
        <v>0</v>
      </c>
      <c r="U142" s="107">
        <v>0</v>
      </c>
      <c r="V142" s="107">
        <v>0</v>
      </c>
      <c r="W142" s="107">
        <v>0</v>
      </c>
      <c r="X142" s="107">
        <v>0</v>
      </c>
      <c r="Y142" s="107">
        <v>0</v>
      </c>
      <c r="Z142" s="107">
        <v>0</v>
      </c>
      <c r="AA142" s="107">
        <v>0</v>
      </c>
      <c r="AB142" s="107">
        <v>0</v>
      </c>
      <c r="AC142" s="107">
        <v>0</v>
      </c>
      <c r="AD142" s="107">
        <v>0</v>
      </c>
      <c r="AE142" s="107">
        <v>0</v>
      </c>
      <c r="AF142" s="107">
        <v>0</v>
      </c>
      <c r="AG142" s="107">
        <v>0</v>
      </c>
      <c r="AH142" s="108">
        <v>0</v>
      </c>
      <c r="AI142" s="108">
        <v>0</v>
      </c>
      <c r="AJ142" s="108">
        <v>0</v>
      </c>
      <c r="AK142" s="108">
        <v>0</v>
      </c>
      <c r="AL142" s="108">
        <v>0</v>
      </c>
      <c r="AM142" s="108">
        <v>0</v>
      </c>
      <c r="AN142" s="109">
        <f t="shared" si="7"/>
        <v>0</v>
      </c>
      <c r="AO142" s="110" t="s">
        <v>12</v>
      </c>
      <c r="AP142" s="111" t="s">
        <v>13</v>
      </c>
    </row>
    <row r="143" spans="1:42" x14ac:dyDescent="0.2">
      <c r="A143" s="105" t="s">
        <v>245</v>
      </c>
      <c r="B143" s="105" t="s">
        <v>246</v>
      </c>
      <c r="C143" s="106">
        <v>0</v>
      </c>
      <c r="D143" s="106">
        <v>0</v>
      </c>
      <c r="E143" s="106">
        <v>0</v>
      </c>
      <c r="F143" s="106">
        <v>0</v>
      </c>
      <c r="G143" s="106">
        <v>0</v>
      </c>
      <c r="H143" s="106">
        <v>0</v>
      </c>
      <c r="I143" s="107">
        <v>0</v>
      </c>
      <c r="J143" s="107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08">
        <v>0</v>
      </c>
      <c r="Q143" s="108">
        <v>0</v>
      </c>
      <c r="R143" s="108">
        <v>0</v>
      </c>
      <c r="S143" s="108">
        <v>0</v>
      </c>
      <c r="T143" s="108">
        <v>0</v>
      </c>
      <c r="U143" s="108">
        <v>0</v>
      </c>
      <c r="V143" s="108">
        <v>0</v>
      </c>
      <c r="W143" s="108">
        <v>0</v>
      </c>
      <c r="X143" s="108">
        <v>0</v>
      </c>
      <c r="Y143" s="108">
        <v>0</v>
      </c>
      <c r="Z143" s="108">
        <v>0</v>
      </c>
      <c r="AA143" s="108">
        <v>0</v>
      </c>
      <c r="AB143" s="108">
        <v>0</v>
      </c>
      <c r="AC143" s="108">
        <v>0</v>
      </c>
      <c r="AD143" s="108">
        <v>0</v>
      </c>
      <c r="AE143" s="108">
        <v>0</v>
      </c>
      <c r="AF143" s="108">
        <v>0</v>
      </c>
      <c r="AG143" s="108">
        <v>0</v>
      </c>
      <c r="AH143" s="108">
        <v>0</v>
      </c>
      <c r="AI143" s="108">
        <v>0</v>
      </c>
      <c r="AJ143" s="108">
        <v>0</v>
      </c>
      <c r="AK143" s="108">
        <v>0</v>
      </c>
      <c r="AL143" s="108">
        <v>0</v>
      </c>
      <c r="AM143" s="108">
        <v>0</v>
      </c>
      <c r="AN143" s="109">
        <f t="shared" si="7"/>
        <v>0</v>
      </c>
      <c r="AO143" s="110" t="s">
        <v>12</v>
      </c>
      <c r="AP143" s="111" t="s">
        <v>13</v>
      </c>
    </row>
    <row r="144" spans="1:42" x14ac:dyDescent="0.2">
      <c r="A144" s="105" t="s">
        <v>247</v>
      </c>
      <c r="B144" s="105" t="s">
        <v>248</v>
      </c>
      <c r="C144" s="106">
        <v>0</v>
      </c>
      <c r="D144" s="106">
        <v>0</v>
      </c>
      <c r="E144" s="106">
        <v>0</v>
      </c>
      <c r="F144" s="106">
        <v>0</v>
      </c>
      <c r="G144" s="106">
        <v>0</v>
      </c>
      <c r="H144" s="106">
        <v>0</v>
      </c>
      <c r="I144" s="107">
        <v>0</v>
      </c>
      <c r="J144" s="115">
        <v>0</v>
      </c>
      <c r="K144" s="107">
        <v>0</v>
      </c>
      <c r="L144" s="107">
        <v>0</v>
      </c>
      <c r="M144" s="107">
        <v>0</v>
      </c>
      <c r="N144" s="107">
        <v>0</v>
      </c>
      <c r="O144" s="107">
        <v>0</v>
      </c>
      <c r="P144" s="107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107">
        <v>0</v>
      </c>
      <c r="W144" s="107">
        <v>0</v>
      </c>
      <c r="X144" s="107">
        <v>0</v>
      </c>
      <c r="Y144" s="107">
        <v>0</v>
      </c>
      <c r="Z144" s="107">
        <v>0</v>
      </c>
      <c r="AA144" s="108">
        <v>0</v>
      </c>
      <c r="AB144" s="108">
        <v>0</v>
      </c>
      <c r="AC144" s="108">
        <v>0</v>
      </c>
      <c r="AD144" s="108">
        <v>0</v>
      </c>
      <c r="AE144" s="108">
        <v>0</v>
      </c>
      <c r="AF144" s="108">
        <v>0</v>
      </c>
      <c r="AG144" s="108">
        <v>0</v>
      </c>
      <c r="AH144" s="108">
        <v>0</v>
      </c>
      <c r="AI144" s="108">
        <v>0</v>
      </c>
      <c r="AJ144" s="108">
        <v>0</v>
      </c>
      <c r="AK144" s="108">
        <v>0</v>
      </c>
      <c r="AL144" s="108">
        <v>0</v>
      </c>
      <c r="AM144" s="108">
        <v>0</v>
      </c>
      <c r="AN144" s="109">
        <f t="shared" si="7"/>
        <v>0</v>
      </c>
      <c r="AO144" s="110" t="s">
        <v>12</v>
      </c>
      <c r="AP144" s="111" t="s">
        <v>13</v>
      </c>
    </row>
    <row r="145" spans="1:42" x14ac:dyDescent="0.2">
      <c r="A145" s="105" t="s">
        <v>249</v>
      </c>
      <c r="B145" s="105" t="s">
        <v>250</v>
      </c>
      <c r="C145" s="106">
        <v>0</v>
      </c>
      <c r="D145" s="106">
        <v>0</v>
      </c>
      <c r="E145" s="106">
        <v>0</v>
      </c>
      <c r="F145" s="106">
        <v>0</v>
      </c>
      <c r="G145" s="106">
        <v>0</v>
      </c>
      <c r="H145" s="106">
        <v>0</v>
      </c>
      <c r="I145" s="107">
        <v>0</v>
      </c>
      <c r="J145" s="115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0</v>
      </c>
      <c r="R145" s="107">
        <v>0</v>
      </c>
      <c r="S145" s="107">
        <v>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7">
        <v>0</v>
      </c>
      <c r="Z145" s="108">
        <v>0</v>
      </c>
      <c r="AA145" s="108">
        <v>0</v>
      </c>
      <c r="AB145" s="108">
        <v>0</v>
      </c>
      <c r="AC145" s="108">
        <v>0</v>
      </c>
      <c r="AD145" s="108">
        <v>0</v>
      </c>
      <c r="AE145" s="108">
        <v>0</v>
      </c>
      <c r="AF145" s="108">
        <v>0</v>
      </c>
      <c r="AG145" s="108">
        <v>0</v>
      </c>
      <c r="AH145" s="108">
        <v>0</v>
      </c>
      <c r="AI145" s="108">
        <v>0</v>
      </c>
      <c r="AJ145" s="108">
        <v>0</v>
      </c>
      <c r="AK145" s="108">
        <v>0</v>
      </c>
      <c r="AL145" s="108">
        <v>0</v>
      </c>
      <c r="AM145" s="108">
        <v>0</v>
      </c>
      <c r="AN145" s="109">
        <f t="shared" si="7"/>
        <v>0</v>
      </c>
      <c r="AO145" s="110" t="s">
        <v>12</v>
      </c>
      <c r="AP145" s="111" t="s">
        <v>13</v>
      </c>
    </row>
    <row r="146" spans="1:42" x14ac:dyDescent="0.2">
      <c r="A146" s="105" t="s">
        <v>251</v>
      </c>
      <c r="B146" s="105" t="s">
        <v>252</v>
      </c>
      <c r="C146" s="106">
        <v>0</v>
      </c>
      <c r="D146" s="106">
        <v>0</v>
      </c>
      <c r="E146" s="106">
        <v>0</v>
      </c>
      <c r="F146" s="106">
        <v>0</v>
      </c>
      <c r="G146" s="106">
        <v>0</v>
      </c>
      <c r="H146" s="106">
        <v>0</v>
      </c>
      <c r="I146" s="107">
        <v>0</v>
      </c>
      <c r="J146" s="115">
        <v>0</v>
      </c>
      <c r="K146" s="107">
        <v>0</v>
      </c>
      <c r="L146" s="107">
        <v>0</v>
      </c>
      <c r="M146" s="107">
        <v>0</v>
      </c>
      <c r="N146" s="107">
        <v>0</v>
      </c>
      <c r="O146" s="107">
        <v>0</v>
      </c>
      <c r="P146" s="107">
        <v>0</v>
      </c>
      <c r="Q146" s="107">
        <v>0</v>
      </c>
      <c r="R146" s="107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8">
        <v>0</v>
      </c>
      <c r="AA146" s="108">
        <v>0</v>
      </c>
      <c r="AB146" s="108">
        <v>0</v>
      </c>
      <c r="AC146" s="108">
        <v>0</v>
      </c>
      <c r="AD146" s="108">
        <v>0</v>
      </c>
      <c r="AE146" s="108">
        <v>0</v>
      </c>
      <c r="AF146" s="108">
        <v>0</v>
      </c>
      <c r="AG146" s="108">
        <v>0</v>
      </c>
      <c r="AH146" s="108">
        <v>0</v>
      </c>
      <c r="AI146" s="108">
        <v>0</v>
      </c>
      <c r="AJ146" s="108">
        <v>0</v>
      </c>
      <c r="AK146" s="108">
        <v>0</v>
      </c>
      <c r="AL146" s="108">
        <v>0</v>
      </c>
      <c r="AM146" s="108">
        <v>0</v>
      </c>
      <c r="AN146" s="109">
        <f t="shared" si="7"/>
        <v>0</v>
      </c>
      <c r="AO146" s="110" t="s">
        <v>12</v>
      </c>
      <c r="AP146" s="111" t="s">
        <v>13</v>
      </c>
    </row>
    <row r="147" spans="1:42" x14ac:dyDescent="0.2">
      <c r="A147" s="93" t="s">
        <v>253</v>
      </c>
      <c r="B147" s="93" t="s">
        <v>254</v>
      </c>
      <c r="C147" s="101">
        <v>0</v>
      </c>
      <c r="D147" s="101">
        <v>0</v>
      </c>
      <c r="E147" s="101">
        <v>0</v>
      </c>
      <c r="F147" s="101"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1">
        <v>0</v>
      </c>
      <c r="T147" s="101">
        <v>0</v>
      </c>
      <c r="U147" s="101">
        <v>0</v>
      </c>
      <c r="V147" s="101">
        <v>0</v>
      </c>
      <c r="W147" s="101">
        <v>0</v>
      </c>
      <c r="X147" s="101">
        <v>0</v>
      </c>
      <c r="Y147" s="101">
        <v>0</v>
      </c>
      <c r="Z147" s="101">
        <v>0</v>
      </c>
      <c r="AA147" s="101">
        <v>0</v>
      </c>
      <c r="AB147" s="101">
        <v>0</v>
      </c>
      <c r="AC147" s="101">
        <v>0</v>
      </c>
      <c r="AD147" s="101">
        <v>0</v>
      </c>
      <c r="AE147" s="101">
        <v>0</v>
      </c>
      <c r="AF147" s="101">
        <v>0</v>
      </c>
      <c r="AG147" s="101">
        <v>0</v>
      </c>
      <c r="AH147" s="101">
        <v>0</v>
      </c>
      <c r="AI147" s="101">
        <v>0</v>
      </c>
      <c r="AJ147" s="101">
        <v>0</v>
      </c>
      <c r="AK147" s="101">
        <v>0</v>
      </c>
      <c r="AL147" s="101">
        <v>0</v>
      </c>
      <c r="AM147" s="101">
        <v>0</v>
      </c>
      <c r="AN147" s="98">
        <f t="shared" si="7"/>
        <v>0</v>
      </c>
      <c r="AO147" s="99" t="s">
        <v>12</v>
      </c>
      <c r="AP147" s="100" t="s">
        <v>13</v>
      </c>
    </row>
    <row r="148" spans="1:42" x14ac:dyDescent="0.2">
      <c r="A148" s="93" t="s">
        <v>255</v>
      </c>
      <c r="B148" s="93" t="s">
        <v>248</v>
      </c>
      <c r="C148" s="101">
        <v>0</v>
      </c>
      <c r="D148" s="101">
        <v>0</v>
      </c>
      <c r="E148" s="101">
        <v>0</v>
      </c>
      <c r="F148" s="101">
        <v>0</v>
      </c>
      <c r="G148" s="101">
        <v>0</v>
      </c>
      <c r="H148" s="101">
        <v>0</v>
      </c>
      <c r="I148" s="97">
        <v>0</v>
      </c>
      <c r="J148" s="96">
        <v>0</v>
      </c>
      <c r="K148" s="97">
        <v>0</v>
      </c>
      <c r="L148" s="97">
        <v>0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0</v>
      </c>
      <c r="S148" s="97">
        <v>0</v>
      </c>
      <c r="T148" s="97">
        <v>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5">
        <v>0</v>
      </c>
      <c r="AA148" s="95">
        <v>0</v>
      </c>
      <c r="AB148" s="95">
        <v>0</v>
      </c>
      <c r="AC148" s="95">
        <v>0</v>
      </c>
      <c r="AD148" s="95">
        <v>0</v>
      </c>
      <c r="AE148" s="95">
        <v>0</v>
      </c>
      <c r="AF148" s="95">
        <v>0</v>
      </c>
      <c r="AG148" s="95">
        <v>0</v>
      </c>
      <c r="AH148" s="95">
        <v>0</v>
      </c>
      <c r="AI148" s="95">
        <v>0</v>
      </c>
      <c r="AJ148" s="95">
        <v>0</v>
      </c>
      <c r="AK148" s="95">
        <v>0</v>
      </c>
      <c r="AL148" s="95">
        <v>0</v>
      </c>
      <c r="AM148" s="95">
        <v>0</v>
      </c>
      <c r="AN148" s="98">
        <f t="shared" si="7"/>
        <v>0</v>
      </c>
      <c r="AO148" s="99" t="s">
        <v>12</v>
      </c>
      <c r="AP148" s="100" t="s">
        <v>13</v>
      </c>
    </row>
    <row r="149" spans="1:42" x14ac:dyDescent="0.2">
      <c r="A149" s="93" t="s">
        <v>256</v>
      </c>
      <c r="B149" s="93" t="s">
        <v>248</v>
      </c>
      <c r="C149" s="101">
        <v>0</v>
      </c>
      <c r="D149" s="101">
        <v>0</v>
      </c>
      <c r="E149" s="101">
        <v>0</v>
      </c>
      <c r="F149" s="101">
        <v>0</v>
      </c>
      <c r="G149" s="101">
        <v>0</v>
      </c>
      <c r="H149" s="101">
        <v>0</v>
      </c>
      <c r="I149" s="97">
        <v>0</v>
      </c>
      <c r="J149" s="96">
        <v>0</v>
      </c>
      <c r="K149" s="97">
        <v>0</v>
      </c>
      <c r="L149" s="97">
        <v>0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0</v>
      </c>
      <c r="S149" s="97">
        <v>0</v>
      </c>
      <c r="T149" s="97">
        <v>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5">
        <v>0</v>
      </c>
      <c r="AA149" s="95">
        <v>0</v>
      </c>
      <c r="AB149" s="95">
        <v>0</v>
      </c>
      <c r="AC149" s="95">
        <v>0</v>
      </c>
      <c r="AD149" s="95">
        <v>0</v>
      </c>
      <c r="AE149" s="95">
        <v>0</v>
      </c>
      <c r="AF149" s="95">
        <v>0</v>
      </c>
      <c r="AG149" s="95">
        <v>0</v>
      </c>
      <c r="AH149" s="95">
        <v>0</v>
      </c>
      <c r="AI149" s="95">
        <v>0</v>
      </c>
      <c r="AJ149" s="95">
        <v>0</v>
      </c>
      <c r="AK149" s="95">
        <v>0</v>
      </c>
      <c r="AL149" s="95">
        <v>0</v>
      </c>
      <c r="AM149" s="95">
        <v>0</v>
      </c>
      <c r="AN149" s="98">
        <f t="shared" si="7"/>
        <v>0</v>
      </c>
      <c r="AO149" s="99" t="s">
        <v>12</v>
      </c>
      <c r="AP149" s="100" t="s">
        <v>13</v>
      </c>
    </row>
    <row r="150" spans="1:42" ht="15" thickBot="1" x14ac:dyDescent="0.25">
      <c r="A150" s="145"/>
      <c r="B150" s="145"/>
      <c r="C150" s="146"/>
      <c r="D150" s="146"/>
      <c r="E150" s="146"/>
      <c r="F150" s="146"/>
      <c r="G150" s="146"/>
      <c r="H150" s="146"/>
      <c r="I150" s="147"/>
      <c r="J150" s="148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50"/>
      <c r="AO150" s="151"/>
      <c r="AP150" s="152"/>
    </row>
    <row r="151" spans="1:42" ht="15.75" thickTop="1" x14ac:dyDescent="0.25">
      <c r="A151" s="123"/>
      <c r="B151" s="123" t="s">
        <v>110</v>
      </c>
      <c r="C151" s="153">
        <f>SUM(C91:C149)</f>
        <v>33476.15</v>
      </c>
      <c r="D151" s="153">
        <f>SUM(D91:D149)</f>
        <v>33852.717000000011</v>
      </c>
      <c r="E151" s="153">
        <f t="shared" ref="E151:AN151" si="8">SUM(E91:E149)</f>
        <v>41908.579999999994</v>
      </c>
      <c r="F151" s="153">
        <f t="shared" si="8"/>
        <v>32040.189999999995</v>
      </c>
      <c r="G151" s="153">
        <f t="shared" si="8"/>
        <v>32670.599999999995</v>
      </c>
      <c r="H151" s="153">
        <f t="shared" si="8"/>
        <v>43507.728081172325</v>
      </c>
      <c r="I151" s="153">
        <f t="shared" si="8"/>
        <v>51182.749372395272</v>
      </c>
      <c r="J151" s="153">
        <f t="shared" si="8"/>
        <v>40534.220000000008</v>
      </c>
      <c r="K151" s="153">
        <f t="shared" si="8"/>
        <v>37937.319999999992</v>
      </c>
      <c r="L151" s="153">
        <f t="shared" si="8"/>
        <v>37892.06</v>
      </c>
      <c r="M151" s="153">
        <f t="shared" si="8"/>
        <v>34185.29</v>
      </c>
      <c r="N151" s="153">
        <f t="shared" si="8"/>
        <v>31053.64</v>
      </c>
      <c r="O151" s="153">
        <f t="shared" si="8"/>
        <v>35988.400000000001</v>
      </c>
      <c r="P151" s="153">
        <f t="shared" si="8"/>
        <v>32171.22</v>
      </c>
      <c r="Q151" s="153">
        <f t="shared" si="8"/>
        <v>25764.329999999998</v>
      </c>
      <c r="R151" s="153">
        <f t="shared" si="8"/>
        <v>28708.25</v>
      </c>
      <c r="S151" s="153">
        <f t="shared" si="8"/>
        <v>27617.73</v>
      </c>
      <c r="T151" s="153">
        <f t="shared" si="8"/>
        <v>22705.84</v>
      </c>
      <c r="U151" s="153">
        <f t="shared" si="8"/>
        <v>26126.909999999996</v>
      </c>
      <c r="V151" s="153">
        <f t="shared" si="8"/>
        <v>24463.55</v>
      </c>
      <c r="W151" s="153">
        <f t="shared" si="8"/>
        <v>19318.080000000002</v>
      </c>
      <c r="X151" s="153">
        <f t="shared" si="8"/>
        <v>14260.640000000001</v>
      </c>
      <c r="Y151" s="153">
        <f t="shared" si="8"/>
        <v>23509.289999999994</v>
      </c>
      <c r="Z151" s="153">
        <f t="shared" si="8"/>
        <v>19879.300000000003</v>
      </c>
      <c r="AA151" s="153">
        <f t="shared" si="8"/>
        <v>16648.7</v>
      </c>
      <c r="AB151" s="153">
        <f t="shared" si="8"/>
        <v>16417.390000000003</v>
      </c>
      <c r="AC151" s="153">
        <f t="shared" si="8"/>
        <v>16257.029999999999</v>
      </c>
      <c r="AD151" s="153">
        <f t="shared" si="8"/>
        <v>12721.119999999999</v>
      </c>
      <c r="AE151" s="153">
        <f t="shared" si="8"/>
        <v>10050.649999999998</v>
      </c>
      <c r="AF151" s="153">
        <f t="shared" si="8"/>
        <v>6291.0099999999993</v>
      </c>
      <c r="AG151" s="153">
        <f t="shared" si="8"/>
        <v>6831.8999999999987</v>
      </c>
      <c r="AH151" s="153">
        <f t="shared" si="8"/>
        <v>9443.91</v>
      </c>
      <c r="AI151" s="153">
        <f t="shared" si="8"/>
        <v>7090.66</v>
      </c>
      <c r="AJ151" s="153">
        <f t="shared" si="8"/>
        <v>7350.9800000000005</v>
      </c>
      <c r="AK151" s="153">
        <f t="shared" si="8"/>
        <v>5361.68</v>
      </c>
      <c r="AL151" s="153">
        <f t="shared" si="8"/>
        <v>0</v>
      </c>
      <c r="AM151" s="153">
        <f t="shared" si="8"/>
        <v>0</v>
      </c>
      <c r="AN151" s="154">
        <f t="shared" si="8"/>
        <v>865219.81445356738</v>
      </c>
      <c r="AO151" s="155"/>
      <c r="AP151" s="156"/>
    </row>
    <row r="152" spans="1:42" x14ac:dyDescent="0.2">
      <c r="A152" s="106"/>
      <c r="B152" s="106"/>
      <c r="C152" s="106"/>
      <c r="D152" s="106"/>
      <c r="E152" s="106"/>
      <c r="F152" s="106"/>
      <c r="G152" s="106"/>
      <c r="H152" s="106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8"/>
      <c r="AJ152" s="108"/>
      <c r="AK152" s="108"/>
      <c r="AL152" s="108"/>
      <c r="AM152" s="108"/>
      <c r="AN152" s="157"/>
      <c r="AO152" s="110"/>
      <c r="AP152" s="111"/>
    </row>
    <row r="153" spans="1:42" ht="15" x14ac:dyDescent="0.25">
      <c r="A153" s="81" t="s">
        <v>3</v>
      </c>
      <c r="B153" s="82" t="s">
        <v>4</v>
      </c>
      <c r="C153" s="81">
        <f t="shared" ref="C153:AL153" si="9">D153+1</f>
        <v>2012</v>
      </c>
      <c r="D153" s="81">
        <f t="shared" si="9"/>
        <v>2011</v>
      </c>
      <c r="E153" s="81">
        <f t="shared" si="9"/>
        <v>2010</v>
      </c>
      <c r="F153" s="81">
        <f t="shared" si="9"/>
        <v>2009</v>
      </c>
      <c r="G153" s="81">
        <f t="shared" si="9"/>
        <v>2008</v>
      </c>
      <c r="H153" s="81">
        <f t="shared" si="9"/>
        <v>2007</v>
      </c>
      <c r="I153" s="83">
        <f t="shared" si="9"/>
        <v>2006</v>
      </c>
      <c r="J153" s="83">
        <f t="shared" si="9"/>
        <v>2005</v>
      </c>
      <c r="K153" s="83">
        <f t="shared" si="9"/>
        <v>2004</v>
      </c>
      <c r="L153" s="83">
        <f t="shared" si="9"/>
        <v>2003</v>
      </c>
      <c r="M153" s="83">
        <f>N153+1</f>
        <v>2002</v>
      </c>
      <c r="N153" s="83">
        <f>O153+1</f>
        <v>2001</v>
      </c>
      <c r="O153" s="83">
        <f>P153+1</f>
        <v>2000</v>
      </c>
      <c r="P153" s="83">
        <f t="shared" si="9"/>
        <v>1999</v>
      </c>
      <c r="Q153" s="83">
        <f t="shared" si="9"/>
        <v>1998</v>
      </c>
      <c r="R153" s="83">
        <f t="shared" si="9"/>
        <v>1997</v>
      </c>
      <c r="S153" s="83">
        <f t="shared" si="9"/>
        <v>1996</v>
      </c>
      <c r="T153" s="83">
        <f t="shared" si="9"/>
        <v>1995</v>
      </c>
      <c r="U153" s="83">
        <f t="shared" si="9"/>
        <v>1994</v>
      </c>
      <c r="V153" s="83">
        <f t="shared" si="9"/>
        <v>1993</v>
      </c>
      <c r="W153" s="83">
        <f t="shared" si="9"/>
        <v>1992</v>
      </c>
      <c r="X153" s="83">
        <f t="shared" si="9"/>
        <v>1991</v>
      </c>
      <c r="Y153" s="83">
        <f t="shared" si="9"/>
        <v>1990</v>
      </c>
      <c r="Z153" s="83">
        <f t="shared" si="9"/>
        <v>1989</v>
      </c>
      <c r="AA153" s="83">
        <f t="shared" si="9"/>
        <v>1988</v>
      </c>
      <c r="AB153" s="83">
        <f t="shared" si="9"/>
        <v>1987</v>
      </c>
      <c r="AC153" s="83">
        <f t="shared" si="9"/>
        <v>1986</v>
      </c>
      <c r="AD153" s="83">
        <f t="shared" si="9"/>
        <v>1985</v>
      </c>
      <c r="AE153" s="83">
        <f t="shared" si="9"/>
        <v>1984</v>
      </c>
      <c r="AF153" s="83">
        <f t="shared" si="9"/>
        <v>1983</v>
      </c>
      <c r="AG153" s="83">
        <f t="shared" si="9"/>
        <v>1982</v>
      </c>
      <c r="AH153" s="83">
        <f t="shared" si="9"/>
        <v>1981</v>
      </c>
      <c r="AI153" s="83">
        <f t="shared" si="9"/>
        <v>1980</v>
      </c>
      <c r="AJ153" s="83">
        <f t="shared" si="9"/>
        <v>1979</v>
      </c>
      <c r="AK153" s="83">
        <f t="shared" si="9"/>
        <v>1978</v>
      </c>
      <c r="AL153" s="83">
        <f t="shared" si="9"/>
        <v>1977</v>
      </c>
      <c r="AM153" s="83">
        <v>1976</v>
      </c>
      <c r="AN153" s="84" t="s">
        <v>5</v>
      </c>
      <c r="AO153" s="85" t="s">
        <v>6</v>
      </c>
      <c r="AP153" s="86" t="s">
        <v>7</v>
      </c>
    </row>
    <row r="154" spans="1:42" ht="15" x14ac:dyDescent="0.25">
      <c r="A154" s="158" t="s">
        <v>257</v>
      </c>
      <c r="B154" s="158" t="s">
        <v>257</v>
      </c>
      <c r="C154" s="159"/>
      <c r="D154" s="159"/>
      <c r="E154" s="159"/>
      <c r="F154" s="159"/>
      <c r="G154" s="159"/>
      <c r="H154" s="159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  <c r="AD154" s="160"/>
      <c r="AE154" s="160"/>
      <c r="AF154" s="160"/>
      <c r="AG154" s="160"/>
      <c r="AH154" s="160"/>
      <c r="AI154" s="160"/>
      <c r="AJ154" s="160"/>
      <c r="AK154" s="160"/>
      <c r="AL154" s="160"/>
      <c r="AM154" s="160"/>
      <c r="AN154" s="161"/>
      <c r="AO154" s="162"/>
      <c r="AP154" s="163"/>
    </row>
    <row r="155" spans="1:42" x14ac:dyDescent="0.2">
      <c r="A155" s="105" t="s">
        <v>258</v>
      </c>
      <c r="B155" s="105" t="s">
        <v>259</v>
      </c>
      <c r="C155" s="106">
        <v>522</v>
      </c>
      <c r="D155" s="106">
        <v>433.89</v>
      </c>
      <c r="E155" s="106">
        <v>759.98</v>
      </c>
      <c r="F155" s="106">
        <v>1011.64</v>
      </c>
      <c r="G155" s="106">
        <v>896.18999999999994</v>
      </c>
      <c r="H155" s="106">
        <v>1226.7</v>
      </c>
      <c r="I155" s="107">
        <v>1437.02</v>
      </c>
      <c r="J155" s="115">
        <v>930.45</v>
      </c>
      <c r="K155" s="107">
        <v>1347.15</v>
      </c>
      <c r="L155" s="107">
        <v>1229.96</v>
      </c>
      <c r="M155" s="107">
        <v>1210.3699999999999</v>
      </c>
      <c r="N155" s="107">
        <v>847.64</v>
      </c>
      <c r="O155" s="107">
        <v>279.19</v>
      </c>
      <c r="P155" s="107">
        <v>8.84</v>
      </c>
      <c r="Q155" s="108" t="s">
        <v>11</v>
      </c>
      <c r="R155" s="108" t="s">
        <v>11</v>
      </c>
      <c r="S155" s="108" t="s">
        <v>11</v>
      </c>
      <c r="T155" s="108" t="s">
        <v>11</v>
      </c>
      <c r="U155" s="108" t="s">
        <v>11</v>
      </c>
      <c r="V155" s="108" t="s">
        <v>11</v>
      </c>
      <c r="W155" s="108" t="s">
        <v>11</v>
      </c>
      <c r="X155" s="108" t="s">
        <v>11</v>
      </c>
      <c r="Y155" s="108" t="s">
        <v>11</v>
      </c>
      <c r="Z155" s="108" t="s">
        <v>11</v>
      </c>
      <c r="AA155" s="108" t="s">
        <v>11</v>
      </c>
      <c r="AB155" s="108" t="s">
        <v>11</v>
      </c>
      <c r="AC155" s="108" t="s">
        <v>11</v>
      </c>
      <c r="AD155" s="108" t="s">
        <v>11</v>
      </c>
      <c r="AE155" s="108" t="s">
        <v>11</v>
      </c>
      <c r="AF155" s="108" t="s">
        <v>11</v>
      </c>
      <c r="AG155" s="108" t="s">
        <v>11</v>
      </c>
      <c r="AH155" s="108" t="s">
        <v>11</v>
      </c>
      <c r="AI155" s="108" t="s">
        <v>11</v>
      </c>
      <c r="AJ155" s="108" t="s">
        <v>11</v>
      </c>
      <c r="AK155" s="108" t="s">
        <v>11</v>
      </c>
      <c r="AL155" s="108" t="s">
        <v>11</v>
      </c>
      <c r="AM155" s="108" t="s">
        <v>11</v>
      </c>
      <c r="AN155" s="109">
        <f t="shared" ref="AN155:AN161" si="10">SUM(C155:AM155)</f>
        <v>12141.019999999999</v>
      </c>
      <c r="AO155" s="116" t="s">
        <v>260</v>
      </c>
      <c r="AP155" s="117" t="s">
        <v>13</v>
      </c>
    </row>
    <row r="156" spans="1:42" x14ac:dyDescent="0.2">
      <c r="A156" s="105" t="s">
        <v>258</v>
      </c>
      <c r="B156" s="105" t="s">
        <v>261</v>
      </c>
      <c r="C156" s="106">
        <v>0</v>
      </c>
      <c r="D156" s="106">
        <v>0</v>
      </c>
      <c r="E156" s="106"/>
      <c r="F156" s="106">
        <v>0</v>
      </c>
      <c r="G156" s="106">
        <v>0</v>
      </c>
      <c r="H156" s="106">
        <v>0</v>
      </c>
      <c r="I156" s="107">
        <v>0</v>
      </c>
      <c r="J156" s="115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654.64</v>
      </c>
      <c r="P156" s="107">
        <v>727.34</v>
      </c>
      <c r="Q156" s="107">
        <v>588.29</v>
      </c>
      <c r="R156" s="107">
        <v>526.41</v>
      </c>
      <c r="S156" s="107">
        <v>611.27</v>
      </c>
      <c r="T156" s="107">
        <v>494.97</v>
      </c>
      <c r="U156" s="107">
        <v>579.24</v>
      </c>
      <c r="V156" s="107">
        <v>513.17999999999995</v>
      </c>
      <c r="W156" s="107">
        <v>218.6</v>
      </c>
      <c r="X156" s="107">
        <v>186.26</v>
      </c>
      <c r="Y156" s="107">
        <v>487.55</v>
      </c>
      <c r="Z156" s="107">
        <v>386.27</v>
      </c>
      <c r="AA156" s="107">
        <v>359.75</v>
      </c>
      <c r="AB156" s="107">
        <v>231.69</v>
      </c>
      <c r="AC156" s="107">
        <v>190.6</v>
      </c>
      <c r="AD156" s="107">
        <v>45.37</v>
      </c>
      <c r="AE156" s="108" t="s">
        <v>11</v>
      </c>
      <c r="AF156" s="108" t="s">
        <v>11</v>
      </c>
      <c r="AG156" s="108" t="s">
        <v>11</v>
      </c>
      <c r="AH156" s="108" t="s">
        <v>11</v>
      </c>
      <c r="AI156" s="108" t="s">
        <v>11</v>
      </c>
      <c r="AJ156" s="108" t="s">
        <v>11</v>
      </c>
      <c r="AK156" s="108" t="s">
        <v>11</v>
      </c>
      <c r="AL156" s="108" t="s">
        <v>11</v>
      </c>
      <c r="AM156" s="108" t="s">
        <v>11</v>
      </c>
      <c r="AN156" s="109">
        <f t="shared" si="10"/>
        <v>6801.43</v>
      </c>
      <c r="AO156" s="110" t="s">
        <v>260</v>
      </c>
      <c r="AP156" s="111" t="s">
        <v>13</v>
      </c>
    </row>
    <row r="157" spans="1:42" x14ac:dyDescent="0.2">
      <c r="A157" s="93" t="s">
        <v>262</v>
      </c>
      <c r="B157" s="93" t="s">
        <v>263</v>
      </c>
      <c r="C157" s="101">
        <v>784.44</v>
      </c>
      <c r="D157" s="101">
        <v>774.24</v>
      </c>
      <c r="E157" s="101">
        <v>864.06</v>
      </c>
      <c r="F157" s="101">
        <v>822.61999999999989</v>
      </c>
      <c r="G157" s="101">
        <v>927.65999999999985</v>
      </c>
      <c r="H157" s="101">
        <v>1028.3899999999999</v>
      </c>
      <c r="I157" s="97">
        <v>977.1</v>
      </c>
      <c r="J157" s="96">
        <v>1134.97</v>
      </c>
      <c r="K157" s="97">
        <v>1227.4000000000001</v>
      </c>
      <c r="L157" s="97">
        <v>914.01</v>
      </c>
      <c r="M157" s="97">
        <v>922.02</v>
      </c>
      <c r="N157" s="97">
        <v>685.27</v>
      </c>
      <c r="O157" s="97">
        <v>1165.05</v>
      </c>
      <c r="P157" s="97">
        <v>1175.83</v>
      </c>
      <c r="Q157" s="97">
        <v>1131.1300000000001</v>
      </c>
      <c r="R157" s="97">
        <v>1194.23</v>
      </c>
      <c r="S157" s="97">
        <v>1011.74</v>
      </c>
      <c r="T157" s="97">
        <v>775.96</v>
      </c>
      <c r="U157" s="97">
        <v>1049.1300000000001</v>
      </c>
      <c r="V157" s="97">
        <v>990.83</v>
      </c>
      <c r="W157" s="97">
        <v>823.49</v>
      </c>
      <c r="X157" s="97">
        <v>642.03</v>
      </c>
      <c r="Y157" s="97">
        <v>465.49</v>
      </c>
      <c r="Z157" s="97">
        <v>772.91</v>
      </c>
      <c r="AA157" s="97">
        <v>702.91</v>
      </c>
      <c r="AB157" s="97">
        <v>705.1</v>
      </c>
      <c r="AC157" s="97">
        <v>656.21</v>
      </c>
      <c r="AD157" s="97">
        <v>664.41</v>
      </c>
      <c r="AE157" s="97">
        <v>390.68</v>
      </c>
      <c r="AF157" s="97">
        <v>192.51</v>
      </c>
      <c r="AG157" s="97">
        <v>65.88</v>
      </c>
      <c r="AH157" s="95" t="s">
        <v>11</v>
      </c>
      <c r="AI157" s="95" t="s">
        <v>11</v>
      </c>
      <c r="AJ157" s="95" t="s">
        <v>11</v>
      </c>
      <c r="AK157" s="95" t="s">
        <v>11</v>
      </c>
      <c r="AL157" s="95" t="s">
        <v>11</v>
      </c>
      <c r="AM157" s="95" t="s">
        <v>11</v>
      </c>
      <c r="AN157" s="98">
        <f t="shared" si="10"/>
        <v>25637.700000000004</v>
      </c>
      <c r="AO157" s="99" t="s">
        <v>264</v>
      </c>
      <c r="AP157" s="100" t="s">
        <v>13</v>
      </c>
    </row>
    <row r="158" spans="1:42" x14ac:dyDescent="0.2">
      <c r="A158" s="93" t="s">
        <v>265</v>
      </c>
      <c r="B158" s="93" t="s">
        <v>266</v>
      </c>
      <c r="C158" s="101">
        <v>457.43</v>
      </c>
      <c r="D158" s="101">
        <v>443.02</v>
      </c>
      <c r="E158" s="101">
        <v>617.78</v>
      </c>
      <c r="F158" s="101">
        <v>489.91999999999996</v>
      </c>
      <c r="G158" s="101">
        <v>699.69999999999993</v>
      </c>
      <c r="H158" s="101">
        <v>1404.4060000000002</v>
      </c>
      <c r="I158" s="97">
        <v>1620.252</v>
      </c>
      <c r="J158" s="96">
        <v>984.96</v>
      </c>
      <c r="K158" s="97">
        <v>1038.77</v>
      </c>
      <c r="L158" s="97">
        <v>1740.34</v>
      </c>
      <c r="M158" s="97">
        <v>1930.49</v>
      </c>
      <c r="N158" s="97">
        <v>1574.39</v>
      </c>
      <c r="O158" s="97">
        <v>1731.54</v>
      </c>
      <c r="P158" s="97">
        <v>2218.84</v>
      </c>
      <c r="Q158" s="97">
        <v>1287</v>
      </c>
      <c r="R158" s="97">
        <v>2139.8000000000002</v>
      </c>
      <c r="S158" s="97">
        <v>2641.37</v>
      </c>
      <c r="T158" s="97">
        <v>2264.2600000000002</v>
      </c>
      <c r="U158" s="97">
        <v>1102.03</v>
      </c>
      <c r="V158" s="97">
        <v>1026.46</v>
      </c>
      <c r="W158" s="97">
        <v>1573.87</v>
      </c>
      <c r="X158" s="97">
        <v>1130.5999999999999</v>
      </c>
      <c r="Y158" s="97">
        <v>531.39</v>
      </c>
      <c r="Z158" s="97">
        <v>341.25</v>
      </c>
      <c r="AA158" s="95" t="s">
        <v>11</v>
      </c>
      <c r="AB158" s="95" t="s">
        <v>11</v>
      </c>
      <c r="AC158" s="95" t="s">
        <v>11</v>
      </c>
      <c r="AD158" s="95" t="s">
        <v>11</v>
      </c>
      <c r="AE158" s="95" t="s">
        <v>11</v>
      </c>
      <c r="AF158" s="95" t="s">
        <v>11</v>
      </c>
      <c r="AG158" s="95" t="s">
        <v>11</v>
      </c>
      <c r="AH158" s="95" t="s">
        <v>11</v>
      </c>
      <c r="AI158" s="95" t="s">
        <v>11</v>
      </c>
      <c r="AJ158" s="95" t="s">
        <v>11</v>
      </c>
      <c r="AK158" s="95" t="s">
        <v>11</v>
      </c>
      <c r="AL158" s="95" t="s">
        <v>11</v>
      </c>
      <c r="AM158" s="95" t="s">
        <v>11</v>
      </c>
      <c r="AN158" s="98">
        <f t="shared" si="10"/>
        <v>30989.867999999991</v>
      </c>
      <c r="AO158" s="99" t="s">
        <v>264</v>
      </c>
      <c r="AP158" s="100" t="s">
        <v>13</v>
      </c>
    </row>
    <row r="159" spans="1:42" x14ac:dyDescent="0.2">
      <c r="A159" s="93" t="s">
        <v>267</v>
      </c>
      <c r="B159" s="93" t="s">
        <v>268</v>
      </c>
      <c r="C159" s="101">
        <v>0</v>
      </c>
      <c r="D159" s="101">
        <v>0</v>
      </c>
      <c r="E159" s="101"/>
      <c r="F159" s="101">
        <v>0</v>
      </c>
      <c r="G159" s="101">
        <v>0</v>
      </c>
      <c r="H159" s="101">
        <v>0</v>
      </c>
      <c r="I159" s="97">
        <v>0</v>
      </c>
      <c r="J159" s="97">
        <v>0</v>
      </c>
      <c r="K159" s="97">
        <v>0</v>
      </c>
      <c r="L159" s="97">
        <v>0</v>
      </c>
      <c r="M159" s="97">
        <v>0</v>
      </c>
      <c r="N159" s="97">
        <v>0</v>
      </c>
      <c r="O159" s="97">
        <v>0</v>
      </c>
      <c r="P159" s="97">
        <v>0</v>
      </c>
      <c r="Q159" s="97">
        <v>0</v>
      </c>
      <c r="R159" s="97">
        <v>0</v>
      </c>
      <c r="S159" s="97">
        <v>0</v>
      </c>
      <c r="T159" s="97">
        <v>0</v>
      </c>
      <c r="U159" s="97">
        <v>0</v>
      </c>
      <c r="V159" s="97">
        <v>0</v>
      </c>
      <c r="W159" s="97">
        <v>0</v>
      </c>
      <c r="X159" s="97">
        <v>40.49</v>
      </c>
      <c r="Y159" s="97">
        <v>734.57</v>
      </c>
      <c r="Z159" s="97">
        <v>861.3</v>
      </c>
      <c r="AA159" s="97">
        <v>914.84</v>
      </c>
      <c r="AB159" s="97">
        <v>444.38</v>
      </c>
      <c r="AC159" s="97">
        <v>165.59</v>
      </c>
      <c r="AD159" s="95" t="s">
        <v>11</v>
      </c>
      <c r="AE159" s="95" t="s">
        <v>11</v>
      </c>
      <c r="AF159" s="95" t="s">
        <v>11</v>
      </c>
      <c r="AG159" s="95" t="s">
        <v>11</v>
      </c>
      <c r="AH159" s="95" t="s">
        <v>11</v>
      </c>
      <c r="AI159" s="95" t="s">
        <v>11</v>
      </c>
      <c r="AJ159" s="95" t="s">
        <v>11</v>
      </c>
      <c r="AK159" s="95" t="s">
        <v>11</v>
      </c>
      <c r="AL159" s="95" t="s">
        <v>11</v>
      </c>
      <c r="AM159" s="95" t="s">
        <v>11</v>
      </c>
      <c r="AN159" s="98">
        <f t="shared" si="10"/>
        <v>3161.1700000000005</v>
      </c>
      <c r="AO159" s="99" t="s">
        <v>264</v>
      </c>
      <c r="AP159" s="100" t="s">
        <v>13</v>
      </c>
    </row>
    <row r="160" spans="1:42" x14ac:dyDescent="0.2">
      <c r="A160" s="93" t="s">
        <v>269</v>
      </c>
      <c r="B160" s="93" t="s">
        <v>270</v>
      </c>
      <c r="C160" s="101">
        <v>342.24</v>
      </c>
      <c r="D160" s="101">
        <v>297.77</v>
      </c>
      <c r="E160" s="101">
        <v>332.65</v>
      </c>
      <c r="F160" s="164">
        <v>727.16000000000008</v>
      </c>
      <c r="G160" s="101">
        <v>1172.2</v>
      </c>
      <c r="H160" s="101">
        <v>1142.3899999999999</v>
      </c>
      <c r="I160" s="97">
        <v>909.71</v>
      </c>
      <c r="J160" s="96">
        <v>874.75</v>
      </c>
      <c r="K160" s="97">
        <v>1192.3800000000001</v>
      </c>
      <c r="L160" s="97">
        <v>1593.72</v>
      </c>
      <c r="M160" s="97">
        <v>527.51</v>
      </c>
      <c r="N160" s="97">
        <v>669.21</v>
      </c>
      <c r="O160" s="97">
        <v>607.05999999999995</v>
      </c>
      <c r="P160" s="97">
        <v>549.52</v>
      </c>
      <c r="Q160" s="97">
        <v>703.84</v>
      </c>
      <c r="R160" s="97">
        <v>610.87</v>
      </c>
      <c r="S160" s="97">
        <v>253.81</v>
      </c>
      <c r="T160" s="97">
        <v>281.91000000000003</v>
      </c>
      <c r="U160" s="97">
        <v>804.01</v>
      </c>
      <c r="V160" s="97">
        <v>1462.2</v>
      </c>
      <c r="W160" s="97">
        <v>656.46</v>
      </c>
      <c r="X160" s="97">
        <v>282.76</v>
      </c>
      <c r="Y160" s="97">
        <v>834.17</v>
      </c>
      <c r="Z160" s="97">
        <v>394.46</v>
      </c>
      <c r="AA160" s="97">
        <v>344.78</v>
      </c>
      <c r="AB160" s="97">
        <v>438.96</v>
      </c>
      <c r="AC160" s="97">
        <v>507.31</v>
      </c>
      <c r="AD160" s="97">
        <v>915.92</v>
      </c>
      <c r="AE160" s="97">
        <v>52.97</v>
      </c>
      <c r="AF160" s="95" t="s">
        <v>11</v>
      </c>
      <c r="AG160" s="95" t="s">
        <v>11</v>
      </c>
      <c r="AH160" s="95" t="s">
        <v>11</v>
      </c>
      <c r="AI160" s="95" t="s">
        <v>11</v>
      </c>
      <c r="AJ160" s="95" t="s">
        <v>11</v>
      </c>
      <c r="AK160" s="95" t="s">
        <v>11</v>
      </c>
      <c r="AL160" s="95" t="s">
        <v>11</v>
      </c>
      <c r="AM160" s="95" t="s">
        <v>11</v>
      </c>
      <c r="AN160" s="98">
        <f t="shared" si="10"/>
        <v>19482.7</v>
      </c>
      <c r="AO160" s="99" t="s">
        <v>264</v>
      </c>
      <c r="AP160" s="100" t="s">
        <v>13</v>
      </c>
    </row>
    <row r="161" spans="1:42" ht="15" thickBot="1" x14ac:dyDescent="0.25">
      <c r="A161" s="145"/>
      <c r="B161" s="145"/>
      <c r="C161" s="146"/>
      <c r="D161" s="146"/>
      <c r="E161" s="146"/>
      <c r="F161" s="165"/>
      <c r="G161" s="146"/>
      <c r="H161" s="146"/>
      <c r="I161" s="147"/>
      <c r="J161" s="148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9"/>
      <c r="AG161" s="149"/>
      <c r="AH161" s="149"/>
      <c r="AI161" s="149"/>
      <c r="AJ161" s="149"/>
      <c r="AK161" s="149"/>
      <c r="AL161" s="149"/>
      <c r="AM161" s="149"/>
      <c r="AN161" s="98">
        <f t="shared" si="10"/>
        <v>0</v>
      </c>
      <c r="AO161" s="151"/>
      <c r="AP161" s="152"/>
    </row>
    <row r="162" spans="1:42" ht="15.75" thickTop="1" x14ac:dyDescent="0.25">
      <c r="A162" s="123"/>
      <c r="B162" s="123" t="s">
        <v>110</v>
      </c>
      <c r="C162" s="123">
        <f>SUM(C155:C160)</f>
        <v>2106.11</v>
      </c>
      <c r="D162" s="123">
        <f>SUM(D155:D160)</f>
        <v>1948.92</v>
      </c>
      <c r="E162" s="123">
        <f>SUM(E155:E160)</f>
        <v>2574.4699999999998</v>
      </c>
      <c r="F162" s="123">
        <f>SUM(F155:F160)</f>
        <v>3051.34</v>
      </c>
      <c r="G162" s="123">
        <f>SUM(G155:G160)</f>
        <v>3695.75</v>
      </c>
      <c r="H162" s="123">
        <f t="shared" ref="H162:AN162" si="11">SUM(H155:H160)</f>
        <v>4801.8860000000004</v>
      </c>
      <c r="I162" s="123">
        <f t="shared" si="11"/>
        <v>4944.0820000000003</v>
      </c>
      <c r="J162" s="123">
        <f t="shared" si="11"/>
        <v>3925.13</v>
      </c>
      <c r="K162" s="123">
        <f t="shared" si="11"/>
        <v>4805.7000000000007</v>
      </c>
      <c r="L162" s="123">
        <f t="shared" si="11"/>
        <v>5478.0300000000007</v>
      </c>
      <c r="M162" s="123">
        <f t="shared" si="11"/>
        <v>4590.3900000000003</v>
      </c>
      <c r="N162" s="123">
        <f t="shared" si="11"/>
        <v>3776.51</v>
      </c>
      <c r="O162" s="123">
        <f t="shared" si="11"/>
        <v>4437.4799999999996</v>
      </c>
      <c r="P162" s="123">
        <f t="shared" si="11"/>
        <v>4680.3700000000008</v>
      </c>
      <c r="Q162" s="123">
        <f t="shared" si="11"/>
        <v>3710.26</v>
      </c>
      <c r="R162" s="123">
        <f t="shared" si="11"/>
        <v>4471.3100000000004</v>
      </c>
      <c r="S162" s="123">
        <f t="shared" si="11"/>
        <v>4518.1900000000005</v>
      </c>
      <c r="T162" s="123">
        <f t="shared" si="11"/>
        <v>3817.1000000000004</v>
      </c>
      <c r="U162" s="123">
        <f t="shared" si="11"/>
        <v>3534.41</v>
      </c>
      <c r="V162" s="123">
        <f t="shared" si="11"/>
        <v>3992.67</v>
      </c>
      <c r="W162" s="123">
        <f t="shared" si="11"/>
        <v>3272.42</v>
      </c>
      <c r="X162" s="123">
        <f t="shared" si="11"/>
        <v>2282.14</v>
      </c>
      <c r="Y162" s="123">
        <f t="shared" si="11"/>
        <v>3053.17</v>
      </c>
      <c r="Z162" s="123">
        <f t="shared" si="11"/>
        <v>2756.1899999999996</v>
      </c>
      <c r="AA162" s="123">
        <f t="shared" si="11"/>
        <v>2322.2799999999997</v>
      </c>
      <c r="AB162" s="123">
        <f t="shared" si="11"/>
        <v>1820.13</v>
      </c>
      <c r="AC162" s="123">
        <f t="shared" si="11"/>
        <v>1519.71</v>
      </c>
      <c r="AD162" s="123">
        <f t="shared" si="11"/>
        <v>1625.6999999999998</v>
      </c>
      <c r="AE162" s="123">
        <f t="shared" si="11"/>
        <v>443.65</v>
      </c>
      <c r="AF162" s="123">
        <f t="shared" si="11"/>
        <v>192.51</v>
      </c>
      <c r="AG162" s="123">
        <f t="shared" si="11"/>
        <v>65.88</v>
      </c>
      <c r="AH162" s="123">
        <f t="shared" si="11"/>
        <v>0</v>
      </c>
      <c r="AI162" s="123">
        <f t="shared" si="11"/>
        <v>0</v>
      </c>
      <c r="AJ162" s="123">
        <f t="shared" si="11"/>
        <v>0</v>
      </c>
      <c r="AK162" s="123">
        <f t="shared" si="11"/>
        <v>0</v>
      </c>
      <c r="AL162" s="123">
        <f t="shared" si="11"/>
        <v>0</v>
      </c>
      <c r="AM162" s="123">
        <f t="shared" si="11"/>
        <v>0</v>
      </c>
      <c r="AN162" s="124">
        <f t="shared" si="11"/>
        <v>98213.887999999992</v>
      </c>
      <c r="AO162" s="155"/>
      <c r="AP162" s="156"/>
    </row>
    <row r="163" spans="1:42" x14ac:dyDescent="0.2">
      <c r="A163" s="102"/>
      <c r="B163" s="101"/>
      <c r="C163" s="101"/>
      <c r="D163" s="101"/>
      <c r="E163" s="101"/>
      <c r="F163" s="101"/>
      <c r="G163" s="101"/>
      <c r="H163" s="101"/>
      <c r="I163" s="97"/>
      <c r="J163" s="96"/>
      <c r="K163" s="96"/>
      <c r="L163" s="96"/>
      <c r="M163" s="97" t="s">
        <v>114</v>
      </c>
      <c r="N163" s="97" t="s">
        <v>114</v>
      </c>
      <c r="O163" s="97" t="s">
        <v>114</v>
      </c>
      <c r="P163" s="97" t="s">
        <v>114</v>
      </c>
      <c r="Q163" s="97" t="s">
        <v>114</v>
      </c>
      <c r="R163" s="97" t="s">
        <v>114</v>
      </c>
      <c r="S163" s="97" t="s">
        <v>114</v>
      </c>
      <c r="T163" s="97" t="s">
        <v>114</v>
      </c>
      <c r="U163" s="97" t="s">
        <v>114</v>
      </c>
      <c r="V163" s="97" t="s">
        <v>114</v>
      </c>
      <c r="W163" s="97" t="s">
        <v>114</v>
      </c>
      <c r="X163" s="97" t="s">
        <v>114</v>
      </c>
      <c r="Y163" s="97" t="s">
        <v>114</v>
      </c>
      <c r="Z163" s="97" t="s">
        <v>114</v>
      </c>
      <c r="AA163" s="97" t="s">
        <v>114</v>
      </c>
      <c r="AB163" s="97" t="s">
        <v>114</v>
      </c>
      <c r="AC163" s="97" t="s">
        <v>114</v>
      </c>
      <c r="AD163" s="97" t="s">
        <v>114</v>
      </c>
      <c r="AE163" s="97" t="s">
        <v>114</v>
      </c>
      <c r="AF163" s="97" t="s">
        <v>114</v>
      </c>
      <c r="AG163" s="97" t="s">
        <v>114</v>
      </c>
      <c r="AH163" s="97" t="s">
        <v>114</v>
      </c>
      <c r="AI163" s="97" t="s">
        <v>114</v>
      </c>
      <c r="AJ163" s="97" t="s">
        <v>114</v>
      </c>
      <c r="AK163" s="97" t="s">
        <v>114</v>
      </c>
      <c r="AL163" s="97" t="s">
        <v>114</v>
      </c>
      <c r="AM163" s="97" t="s">
        <v>114</v>
      </c>
      <c r="AN163" s="98"/>
      <c r="AO163" s="142"/>
      <c r="AP163" s="143"/>
    </row>
    <row r="164" spans="1:42" ht="15" x14ac:dyDescent="0.25">
      <c r="A164" s="25" t="s">
        <v>111</v>
      </c>
      <c r="B164" s="26" t="s">
        <v>4</v>
      </c>
      <c r="C164" s="25">
        <f t="shared" ref="C164:AL164" si="12">D164+1</f>
        <v>2012</v>
      </c>
      <c r="D164" s="25">
        <f t="shared" si="12"/>
        <v>2011</v>
      </c>
      <c r="E164" s="25">
        <f t="shared" si="12"/>
        <v>2010</v>
      </c>
      <c r="F164" s="25">
        <f t="shared" si="12"/>
        <v>2009</v>
      </c>
      <c r="G164" s="25">
        <f t="shared" si="12"/>
        <v>2008</v>
      </c>
      <c r="H164" s="25">
        <f t="shared" si="12"/>
        <v>2007</v>
      </c>
      <c r="I164" s="27">
        <f t="shared" si="12"/>
        <v>2006</v>
      </c>
      <c r="J164" s="27">
        <f t="shared" si="12"/>
        <v>2005</v>
      </c>
      <c r="K164" s="27">
        <f t="shared" si="12"/>
        <v>2004</v>
      </c>
      <c r="L164" s="27">
        <f t="shared" si="12"/>
        <v>2003</v>
      </c>
      <c r="M164" s="27">
        <f>N164+1</f>
        <v>2002</v>
      </c>
      <c r="N164" s="27">
        <f>O164+1</f>
        <v>2001</v>
      </c>
      <c r="O164" s="27">
        <f>P164+1</f>
        <v>2000</v>
      </c>
      <c r="P164" s="27">
        <f t="shared" si="12"/>
        <v>1999</v>
      </c>
      <c r="Q164" s="27">
        <f t="shared" si="12"/>
        <v>1998</v>
      </c>
      <c r="R164" s="27">
        <f t="shared" si="12"/>
        <v>1997</v>
      </c>
      <c r="S164" s="27">
        <f t="shared" si="12"/>
        <v>1996</v>
      </c>
      <c r="T164" s="27">
        <f t="shared" si="12"/>
        <v>1995</v>
      </c>
      <c r="U164" s="27">
        <f t="shared" si="12"/>
        <v>1994</v>
      </c>
      <c r="V164" s="27">
        <f t="shared" si="12"/>
        <v>1993</v>
      </c>
      <c r="W164" s="27">
        <f t="shared" si="12"/>
        <v>1992</v>
      </c>
      <c r="X164" s="27">
        <f t="shared" si="12"/>
        <v>1991</v>
      </c>
      <c r="Y164" s="27">
        <f t="shared" si="12"/>
        <v>1990</v>
      </c>
      <c r="Z164" s="27">
        <f t="shared" si="12"/>
        <v>1989</v>
      </c>
      <c r="AA164" s="27">
        <f t="shared" si="12"/>
        <v>1988</v>
      </c>
      <c r="AB164" s="27">
        <f t="shared" si="12"/>
        <v>1987</v>
      </c>
      <c r="AC164" s="27">
        <f t="shared" si="12"/>
        <v>1986</v>
      </c>
      <c r="AD164" s="27">
        <f t="shared" si="12"/>
        <v>1985</v>
      </c>
      <c r="AE164" s="27">
        <f t="shared" si="12"/>
        <v>1984</v>
      </c>
      <c r="AF164" s="27">
        <f t="shared" si="12"/>
        <v>1983</v>
      </c>
      <c r="AG164" s="27">
        <f t="shared" si="12"/>
        <v>1982</v>
      </c>
      <c r="AH164" s="27">
        <f t="shared" si="12"/>
        <v>1981</v>
      </c>
      <c r="AI164" s="27">
        <f t="shared" si="12"/>
        <v>1980</v>
      </c>
      <c r="AJ164" s="27">
        <f t="shared" si="12"/>
        <v>1979</v>
      </c>
      <c r="AK164" s="27">
        <f t="shared" si="12"/>
        <v>1978</v>
      </c>
      <c r="AL164" s="27">
        <f t="shared" si="12"/>
        <v>1977</v>
      </c>
      <c r="AM164" s="27">
        <v>1976</v>
      </c>
      <c r="AN164" s="28" t="s">
        <v>5</v>
      </c>
      <c r="AO164" s="29" t="s">
        <v>6</v>
      </c>
      <c r="AP164" s="30" t="s">
        <v>7</v>
      </c>
    </row>
    <row r="165" spans="1:42" ht="15" x14ac:dyDescent="0.25">
      <c r="A165" s="166" t="s">
        <v>271</v>
      </c>
      <c r="B165" s="166" t="s">
        <v>271</v>
      </c>
      <c r="C165" s="167"/>
      <c r="D165" s="167"/>
      <c r="E165" s="167"/>
      <c r="F165" s="167"/>
      <c r="G165" s="167"/>
      <c r="H165" s="167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9"/>
      <c r="AO165" s="170"/>
      <c r="AP165" s="171"/>
    </row>
    <row r="166" spans="1:42" x14ac:dyDescent="0.2">
      <c r="A166" s="48" t="s">
        <v>272</v>
      </c>
      <c r="B166" s="48" t="s">
        <v>273</v>
      </c>
      <c r="C166" s="39">
        <v>266.41000000000003</v>
      </c>
      <c r="D166" s="39">
        <v>253.79</v>
      </c>
      <c r="E166" s="39">
        <v>462.85</v>
      </c>
      <c r="F166" s="39">
        <v>563.06999999999994</v>
      </c>
      <c r="G166" s="39">
        <v>577.69999999999993</v>
      </c>
      <c r="H166" s="39">
        <v>800.74</v>
      </c>
      <c r="I166" s="49">
        <v>387.4</v>
      </c>
      <c r="J166" s="49">
        <v>802.66</v>
      </c>
      <c r="K166" s="49">
        <v>949.94</v>
      </c>
      <c r="L166" s="49">
        <v>788.61</v>
      </c>
      <c r="M166" s="49">
        <v>861.06</v>
      </c>
      <c r="N166" s="49">
        <v>862.89</v>
      </c>
      <c r="O166" s="49">
        <v>775.77</v>
      </c>
      <c r="P166" s="49">
        <v>499.51</v>
      </c>
      <c r="Q166" s="49">
        <v>302.27</v>
      </c>
      <c r="R166" s="49">
        <v>734.92</v>
      </c>
      <c r="S166" s="49">
        <v>627.45000000000005</v>
      </c>
      <c r="T166" s="49">
        <v>511.9</v>
      </c>
      <c r="U166" s="49">
        <v>572.20000000000005</v>
      </c>
      <c r="V166" s="49">
        <v>379.78</v>
      </c>
      <c r="W166" s="49">
        <v>554.82000000000005</v>
      </c>
      <c r="X166" s="49">
        <v>774.73</v>
      </c>
      <c r="Y166" s="49">
        <v>780.7</v>
      </c>
      <c r="Z166" s="49">
        <v>748.63</v>
      </c>
      <c r="AA166" s="49">
        <v>597.95000000000005</v>
      </c>
      <c r="AB166" s="49">
        <v>373.3</v>
      </c>
      <c r="AC166" s="49">
        <v>164.64</v>
      </c>
      <c r="AD166" s="49">
        <v>111</v>
      </c>
      <c r="AE166" s="49">
        <v>19</v>
      </c>
      <c r="AF166" s="49">
        <v>1</v>
      </c>
      <c r="AG166" s="49">
        <v>8</v>
      </c>
      <c r="AH166" s="49">
        <v>9</v>
      </c>
      <c r="AI166" s="49">
        <v>12</v>
      </c>
      <c r="AJ166" s="49">
        <v>4</v>
      </c>
      <c r="AK166" s="49">
        <v>109</v>
      </c>
      <c r="AL166" s="49">
        <v>745</v>
      </c>
      <c r="AM166" s="49">
        <v>471</v>
      </c>
      <c r="AN166" s="51">
        <f>SUM(C166:AM166)</f>
        <v>17464.690000000002</v>
      </c>
      <c r="AO166" s="52" t="s">
        <v>274</v>
      </c>
      <c r="AP166" s="53" t="s">
        <v>13</v>
      </c>
    </row>
    <row r="167" spans="1:42" x14ac:dyDescent="0.2">
      <c r="A167" s="48" t="s">
        <v>275</v>
      </c>
      <c r="B167" s="48" t="s">
        <v>276</v>
      </c>
      <c r="C167" s="39">
        <v>5.5</v>
      </c>
      <c r="D167" s="39">
        <v>6</v>
      </c>
      <c r="E167" s="39">
        <v>6</v>
      </c>
      <c r="F167" s="39">
        <v>6</v>
      </c>
      <c r="G167" s="39">
        <v>6</v>
      </c>
      <c r="H167" s="39">
        <v>6</v>
      </c>
      <c r="I167" s="49">
        <v>6</v>
      </c>
      <c r="J167" s="58">
        <v>7.8</v>
      </c>
      <c r="K167" s="49">
        <v>8.99</v>
      </c>
      <c r="L167" s="49">
        <v>6.43</v>
      </c>
      <c r="M167" s="49">
        <v>6.6</v>
      </c>
      <c r="N167" s="49">
        <v>6.53</v>
      </c>
      <c r="O167" s="49">
        <v>9.0299999999999994</v>
      </c>
      <c r="P167" s="49">
        <v>6</v>
      </c>
      <c r="Q167" s="49">
        <v>6</v>
      </c>
      <c r="R167" s="49">
        <v>6.08</v>
      </c>
      <c r="S167" s="49">
        <v>6.15</v>
      </c>
      <c r="T167" s="49">
        <v>6.03</v>
      </c>
      <c r="U167" s="49">
        <v>6.81</v>
      </c>
      <c r="V167" s="49">
        <v>6</v>
      </c>
      <c r="W167" s="49">
        <v>6</v>
      </c>
      <c r="X167" s="49">
        <v>6.05</v>
      </c>
      <c r="Y167" s="49">
        <v>6.02</v>
      </c>
      <c r="Z167" s="49">
        <v>7.12</v>
      </c>
      <c r="AA167" s="49">
        <v>6.91</v>
      </c>
      <c r="AB167" s="49">
        <v>6.13</v>
      </c>
      <c r="AC167" s="49">
        <v>5</v>
      </c>
      <c r="AD167" s="50" t="s">
        <v>11</v>
      </c>
      <c r="AE167" s="50" t="s">
        <v>11</v>
      </c>
      <c r="AF167" s="50" t="s">
        <v>11</v>
      </c>
      <c r="AG167" s="50" t="s">
        <v>11</v>
      </c>
      <c r="AH167" s="50" t="s">
        <v>11</v>
      </c>
      <c r="AI167" s="50" t="s">
        <v>11</v>
      </c>
      <c r="AJ167" s="50" t="s">
        <v>11</v>
      </c>
      <c r="AK167" s="50" t="s">
        <v>11</v>
      </c>
      <c r="AL167" s="50" t="s">
        <v>11</v>
      </c>
      <c r="AM167" s="50" t="s">
        <v>11</v>
      </c>
      <c r="AN167" s="51">
        <f>SUM(C167:AM167)</f>
        <v>173.18</v>
      </c>
      <c r="AO167" s="52" t="s">
        <v>12</v>
      </c>
      <c r="AP167" s="53" t="s">
        <v>13</v>
      </c>
    </row>
    <row r="168" spans="1:42" x14ac:dyDescent="0.2">
      <c r="A168" s="48" t="s">
        <v>277</v>
      </c>
      <c r="B168" s="48" t="s">
        <v>276</v>
      </c>
      <c r="C168" s="39">
        <v>6.06</v>
      </c>
      <c r="D168" s="39">
        <v>6</v>
      </c>
      <c r="E168" s="39">
        <v>6</v>
      </c>
      <c r="F168" s="39">
        <v>6</v>
      </c>
      <c r="G168" s="39">
        <v>6</v>
      </c>
      <c r="H168" s="39">
        <v>8.6900000000000013</v>
      </c>
      <c r="I168" s="49">
        <v>6.1</v>
      </c>
      <c r="J168" s="58">
        <v>6.1</v>
      </c>
      <c r="K168" s="49">
        <v>6.38</v>
      </c>
      <c r="L168" s="49">
        <v>10.16</v>
      </c>
      <c r="M168" s="49">
        <v>7.4</v>
      </c>
      <c r="N168" s="49">
        <v>8.33</v>
      </c>
      <c r="O168" s="49">
        <v>6</v>
      </c>
      <c r="P168" s="49">
        <v>8.65</v>
      </c>
      <c r="Q168" s="49">
        <v>6</v>
      </c>
      <c r="R168" s="49">
        <v>6</v>
      </c>
      <c r="S168" s="49">
        <v>6</v>
      </c>
      <c r="T168" s="49">
        <v>6.11</v>
      </c>
      <c r="U168" s="49">
        <v>6.2</v>
      </c>
      <c r="V168" s="49">
        <v>6</v>
      </c>
      <c r="W168" s="49">
        <v>6.01</v>
      </c>
      <c r="X168" s="49">
        <v>6</v>
      </c>
      <c r="Y168" s="49">
        <v>3.76</v>
      </c>
      <c r="Z168" s="50" t="s">
        <v>11</v>
      </c>
      <c r="AA168" s="50" t="s">
        <v>11</v>
      </c>
      <c r="AB168" s="50" t="s">
        <v>11</v>
      </c>
      <c r="AC168" s="50" t="s">
        <v>11</v>
      </c>
      <c r="AD168" s="50" t="s">
        <v>11</v>
      </c>
      <c r="AE168" s="50" t="s">
        <v>11</v>
      </c>
      <c r="AF168" s="50" t="s">
        <v>11</v>
      </c>
      <c r="AG168" s="50" t="s">
        <v>11</v>
      </c>
      <c r="AH168" s="50" t="s">
        <v>11</v>
      </c>
      <c r="AI168" s="50" t="s">
        <v>11</v>
      </c>
      <c r="AJ168" s="50" t="s">
        <v>11</v>
      </c>
      <c r="AK168" s="50" t="s">
        <v>11</v>
      </c>
      <c r="AL168" s="50" t="s">
        <v>11</v>
      </c>
      <c r="AM168" s="50" t="s">
        <v>11</v>
      </c>
      <c r="AN168" s="51">
        <f>SUM(C168:AM168)</f>
        <v>149.94999999999999</v>
      </c>
      <c r="AO168" s="52" t="s">
        <v>12</v>
      </c>
      <c r="AP168" s="53" t="s">
        <v>13</v>
      </c>
    </row>
    <row r="169" spans="1:42" ht="15" thickBot="1" x14ac:dyDescent="0.25">
      <c r="A169" s="63"/>
      <c r="B169" s="63"/>
      <c r="C169" s="64"/>
      <c r="D169" s="64"/>
      <c r="E169" s="64"/>
      <c r="F169" s="64"/>
      <c r="G169" s="64"/>
      <c r="H169" s="64"/>
      <c r="I169" s="172"/>
      <c r="J169" s="173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51">
        <f>SUM(C169:AM169)</f>
        <v>0</v>
      </c>
      <c r="AO169" s="67"/>
      <c r="AP169" s="68"/>
    </row>
    <row r="170" spans="1:42" ht="15.75" thickTop="1" x14ac:dyDescent="0.25">
      <c r="A170" s="174"/>
      <c r="B170" s="174" t="s">
        <v>110</v>
      </c>
      <c r="C170" s="174">
        <f t="shared" ref="C170:AN170" si="13">SUM(C166:C168)</f>
        <v>277.97000000000003</v>
      </c>
      <c r="D170" s="174">
        <f t="shared" si="13"/>
        <v>265.78999999999996</v>
      </c>
      <c r="E170" s="174">
        <f t="shared" si="13"/>
        <v>474.85</v>
      </c>
      <c r="F170" s="174">
        <f t="shared" si="13"/>
        <v>575.06999999999994</v>
      </c>
      <c r="G170" s="174">
        <f t="shared" si="13"/>
        <v>589.69999999999993</v>
      </c>
      <c r="H170" s="174">
        <f t="shared" si="13"/>
        <v>815.43000000000006</v>
      </c>
      <c r="I170" s="174">
        <f t="shared" si="13"/>
        <v>399.5</v>
      </c>
      <c r="J170" s="174">
        <f t="shared" si="13"/>
        <v>816.56</v>
      </c>
      <c r="K170" s="174">
        <f t="shared" si="13"/>
        <v>965.31000000000006</v>
      </c>
      <c r="L170" s="174">
        <f t="shared" si="13"/>
        <v>805.19999999999993</v>
      </c>
      <c r="M170" s="174">
        <f t="shared" si="13"/>
        <v>875.06</v>
      </c>
      <c r="N170" s="174">
        <f t="shared" si="13"/>
        <v>877.75</v>
      </c>
      <c r="O170" s="174">
        <f t="shared" si="13"/>
        <v>790.8</v>
      </c>
      <c r="P170" s="174">
        <f t="shared" si="13"/>
        <v>514.16</v>
      </c>
      <c r="Q170" s="174">
        <f t="shared" si="13"/>
        <v>314.27</v>
      </c>
      <c r="R170" s="174">
        <f t="shared" si="13"/>
        <v>747</v>
      </c>
      <c r="S170" s="174">
        <f t="shared" si="13"/>
        <v>639.6</v>
      </c>
      <c r="T170" s="174">
        <f t="shared" si="13"/>
        <v>524.04</v>
      </c>
      <c r="U170" s="174">
        <f t="shared" si="13"/>
        <v>585.21</v>
      </c>
      <c r="V170" s="174">
        <f t="shared" si="13"/>
        <v>391.78</v>
      </c>
      <c r="W170" s="174">
        <f t="shared" si="13"/>
        <v>566.83000000000004</v>
      </c>
      <c r="X170" s="174">
        <f t="shared" si="13"/>
        <v>786.78</v>
      </c>
      <c r="Y170" s="174">
        <f t="shared" si="13"/>
        <v>790.48</v>
      </c>
      <c r="Z170" s="174">
        <f t="shared" si="13"/>
        <v>755.75</v>
      </c>
      <c r="AA170" s="174">
        <f t="shared" si="13"/>
        <v>604.86</v>
      </c>
      <c r="AB170" s="174">
        <f t="shared" si="13"/>
        <v>379.43</v>
      </c>
      <c r="AC170" s="174">
        <f t="shared" si="13"/>
        <v>169.64</v>
      </c>
      <c r="AD170" s="174">
        <f t="shared" si="13"/>
        <v>111</v>
      </c>
      <c r="AE170" s="174">
        <f t="shared" si="13"/>
        <v>19</v>
      </c>
      <c r="AF170" s="174">
        <f t="shared" si="13"/>
        <v>1</v>
      </c>
      <c r="AG170" s="174">
        <f t="shared" si="13"/>
        <v>8</v>
      </c>
      <c r="AH170" s="174">
        <f t="shared" si="13"/>
        <v>9</v>
      </c>
      <c r="AI170" s="174">
        <f t="shared" si="13"/>
        <v>12</v>
      </c>
      <c r="AJ170" s="174">
        <f t="shared" si="13"/>
        <v>4</v>
      </c>
      <c r="AK170" s="174">
        <f t="shared" si="13"/>
        <v>109</v>
      </c>
      <c r="AL170" s="174">
        <f t="shared" si="13"/>
        <v>745</v>
      </c>
      <c r="AM170" s="174">
        <f t="shared" si="13"/>
        <v>471</v>
      </c>
      <c r="AN170" s="175">
        <f t="shared" si="13"/>
        <v>17787.820000000003</v>
      </c>
      <c r="AO170" s="176"/>
      <c r="AP170" s="177"/>
    </row>
    <row r="171" spans="1:42" x14ac:dyDescent="0.2">
      <c r="A171" s="101"/>
      <c r="B171" s="101"/>
      <c r="C171" s="101"/>
      <c r="D171" s="101"/>
      <c r="E171" s="101"/>
      <c r="F171" s="101"/>
      <c r="G171" s="101"/>
      <c r="H171" s="101"/>
      <c r="I171" s="97"/>
      <c r="J171" s="96"/>
      <c r="K171" s="96"/>
      <c r="L171" s="96"/>
      <c r="M171" s="97" t="s">
        <v>114</v>
      </c>
      <c r="N171" s="97" t="s">
        <v>114</v>
      </c>
      <c r="O171" s="97" t="s">
        <v>114</v>
      </c>
      <c r="P171" s="97" t="s">
        <v>114</v>
      </c>
      <c r="Q171" s="97" t="s">
        <v>114</v>
      </c>
      <c r="R171" s="97" t="s">
        <v>114</v>
      </c>
      <c r="S171" s="97" t="s">
        <v>114</v>
      </c>
      <c r="T171" s="97" t="s">
        <v>114</v>
      </c>
      <c r="U171" s="97" t="s">
        <v>114</v>
      </c>
      <c r="V171" s="97" t="s">
        <v>114</v>
      </c>
      <c r="W171" s="97" t="s">
        <v>114</v>
      </c>
      <c r="X171" s="97" t="s">
        <v>114</v>
      </c>
      <c r="Y171" s="97" t="s">
        <v>114</v>
      </c>
      <c r="Z171" s="97" t="s">
        <v>114</v>
      </c>
      <c r="AA171" s="97" t="s">
        <v>114</v>
      </c>
      <c r="AB171" s="97" t="s">
        <v>114</v>
      </c>
      <c r="AC171" s="97" t="s">
        <v>114</v>
      </c>
      <c r="AD171" s="97" t="s">
        <v>114</v>
      </c>
      <c r="AE171" s="97" t="s">
        <v>114</v>
      </c>
      <c r="AF171" s="97" t="s">
        <v>114</v>
      </c>
      <c r="AG171" s="97" t="s">
        <v>114</v>
      </c>
      <c r="AH171" s="97" t="s">
        <v>114</v>
      </c>
      <c r="AI171" s="97" t="s">
        <v>114</v>
      </c>
      <c r="AJ171" s="97" t="s">
        <v>114</v>
      </c>
      <c r="AK171" s="97" t="s">
        <v>114</v>
      </c>
      <c r="AL171" s="97" t="s">
        <v>114</v>
      </c>
      <c r="AM171" s="97" t="s">
        <v>114</v>
      </c>
      <c r="AN171" s="98"/>
      <c r="AO171" s="142"/>
      <c r="AP171" s="143"/>
    </row>
    <row r="172" spans="1:42" ht="15" x14ac:dyDescent="0.25">
      <c r="A172" s="81" t="s">
        <v>278</v>
      </c>
      <c r="B172" s="82" t="s">
        <v>4</v>
      </c>
      <c r="C172" s="81">
        <f t="shared" ref="C172:AL172" si="14">D172+1</f>
        <v>2012</v>
      </c>
      <c r="D172" s="81">
        <f t="shared" si="14"/>
        <v>2011</v>
      </c>
      <c r="E172" s="81">
        <f t="shared" si="14"/>
        <v>2010</v>
      </c>
      <c r="F172" s="81">
        <f t="shared" si="14"/>
        <v>2009</v>
      </c>
      <c r="G172" s="81">
        <f t="shared" si="14"/>
        <v>2008</v>
      </c>
      <c r="H172" s="81">
        <f t="shared" si="14"/>
        <v>2007</v>
      </c>
      <c r="I172" s="83">
        <f t="shared" si="14"/>
        <v>2006</v>
      </c>
      <c r="J172" s="83">
        <f t="shared" si="14"/>
        <v>2005</v>
      </c>
      <c r="K172" s="83">
        <f t="shared" si="14"/>
        <v>2004</v>
      </c>
      <c r="L172" s="83">
        <f t="shared" si="14"/>
        <v>2003</v>
      </c>
      <c r="M172" s="83">
        <f>N172+1</f>
        <v>2002</v>
      </c>
      <c r="N172" s="83">
        <f>O172+1</f>
        <v>2001</v>
      </c>
      <c r="O172" s="83">
        <f>P172+1</f>
        <v>2000</v>
      </c>
      <c r="P172" s="83">
        <f t="shared" si="14"/>
        <v>1999</v>
      </c>
      <c r="Q172" s="83">
        <f t="shared" si="14"/>
        <v>1998</v>
      </c>
      <c r="R172" s="83">
        <f t="shared" si="14"/>
        <v>1997</v>
      </c>
      <c r="S172" s="83">
        <f t="shared" si="14"/>
        <v>1996</v>
      </c>
      <c r="T172" s="83">
        <f t="shared" si="14"/>
        <v>1995</v>
      </c>
      <c r="U172" s="83">
        <f t="shared" si="14"/>
        <v>1994</v>
      </c>
      <c r="V172" s="83">
        <f t="shared" si="14"/>
        <v>1993</v>
      </c>
      <c r="W172" s="83">
        <f t="shared" si="14"/>
        <v>1992</v>
      </c>
      <c r="X172" s="83">
        <f t="shared" si="14"/>
        <v>1991</v>
      </c>
      <c r="Y172" s="83">
        <f t="shared" si="14"/>
        <v>1990</v>
      </c>
      <c r="Z172" s="83">
        <f t="shared" si="14"/>
        <v>1989</v>
      </c>
      <c r="AA172" s="83">
        <f t="shared" si="14"/>
        <v>1988</v>
      </c>
      <c r="AB172" s="83">
        <f t="shared" si="14"/>
        <v>1987</v>
      </c>
      <c r="AC172" s="83">
        <f t="shared" si="14"/>
        <v>1986</v>
      </c>
      <c r="AD172" s="83">
        <f t="shared" si="14"/>
        <v>1985</v>
      </c>
      <c r="AE172" s="83">
        <f t="shared" si="14"/>
        <v>1984</v>
      </c>
      <c r="AF172" s="83">
        <f t="shared" si="14"/>
        <v>1983</v>
      </c>
      <c r="AG172" s="83">
        <f t="shared" si="14"/>
        <v>1982</v>
      </c>
      <c r="AH172" s="83">
        <f t="shared" si="14"/>
        <v>1981</v>
      </c>
      <c r="AI172" s="83">
        <f t="shared" si="14"/>
        <v>1980</v>
      </c>
      <c r="AJ172" s="83">
        <f t="shared" si="14"/>
        <v>1979</v>
      </c>
      <c r="AK172" s="83">
        <f t="shared" si="14"/>
        <v>1978</v>
      </c>
      <c r="AL172" s="83">
        <f t="shared" si="14"/>
        <v>1977</v>
      </c>
      <c r="AM172" s="83">
        <v>1976</v>
      </c>
      <c r="AN172" s="84" t="s">
        <v>5</v>
      </c>
      <c r="AO172" s="85" t="s">
        <v>6</v>
      </c>
      <c r="AP172" s="86" t="s">
        <v>7</v>
      </c>
    </row>
    <row r="173" spans="1:42" ht="15" x14ac:dyDescent="0.25">
      <c r="A173" s="158" t="s">
        <v>279</v>
      </c>
      <c r="B173" s="158" t="s">
        <v>279</v>
      </c>
      <c r="C173" s="159"/>
      <c r="D173" s="159"/>
      <c r="E173" s="159"/>
      <c r="F173" s="159"/>
      <c r="G173" s="159"/>
      <c r="H173" s="159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60"/>
      <c r="AE173" s="160"/>
      <c r="AF173" s="160"/>
      <c r="AG173" s="160"/>
      <c r="AH173" s="160"/>
      <c r="AI173" s="160"/>
      <c r="AJ173" s="160"/>
      <c r="AK173" s="160"/>
      <c r="AL173" s="160"/>
      <c r="AM173" s="160"/>
      <c r="AN173" s="161"/>
      <c r="AO173" s="162"/>
      <c r="AP173" s="163"/>
    </row>
    <row r="174" spans="1:42" x14ac:dyDescent="0.2">
      <c r="A174" s="105" t="s">
        <v>280</v>
      </c>
      <c r="B174" s="105" t="s">
        <v>281</v>
      </c>
      <c r="C174" s="106">
        <v>838.85</v>
      </c>
      <c r="D174" s="106">
        <v>474.69</v>
      </c>
      <c r="E174" s="106">
        <v>609.99</v>
      </c>
      <c r="F174" s="106">
        <v>352.59</v>
      </c>
      <c r="G174" s="106">
        <v>763.98</v>
      </c>
      <c r="H174" s="106">
        <v>871.30000000000007</v>
      </c>
      <c r="I174" s="107">
        <v>1057.93</v>
      </c>
      <c r="J174" s="115">
        <v>964.75</v>
      </c>
      <c r="K174" s="107">
        <v>1561.09</v>
      </c>
      <c r="L174" s="107">
        <v>1288.57</v>
      </c>
      <c r="M174" s="107">
        <v>1593.44</v>
      </c>
      <c r="N174" s="107">
        <v>253.13</v>
      </c>
      <c r="O174" s="107">
        <v>65.27</v>
      </c>
      <c r="P174" s="107">
        <v>19.27</v>
      </c>
      <c r="Q174" s="107">
        <v>0</v>
      </c>
      <c r="R174" s="107">
        <v>0</v>
      </c>
      <c r="S174" s="115">
        <v>0</v>
      </c>
      <c r="T174" s="115">
        <v>0</v>
      </c>
      <c r="U174" s="107">
        <v>110.57</v>
      </c>
      <c r="V174" s="107">
        <v>946.84</v>
      </c>
      <c r="W174" s="107">
        <v>631.80999999999995</v>
      </c>
      <c r="X174" s="107">
        <v>200.42</v>
      </c>
      <c r="Y174" s="107">
        <v>17.3</v>
      </c>
      <c r="Z174" s="108" t="s">
        <v>11</v>
      </c>
      <c r="AA174" s="108" t="s">
        <v>11</v>
      </c>
      <c r="AB174" s="108" t="s">
        <v>11</v>
      </c>
      <c r="AC174" s="108" t="s">
        <v>11</v>
      </c>
      <c r="AD174" s="108" t="s">
        <v>11</v>
      </c>
      <c r="AE174" s="108" t="s">
        <v>11</v>
      </c>
      <c r="AF174" s="108" t="s">
        <v>11</v>
      </c>
      <c r="AG174" s="108" t="s">
        <v>11</v>
      </c>
      <c r="AH174" s="108" t="s">
        <v>11</v>
      </c>
      <c r="AI174" s="108" t="s">
        <v>11</v>
      </c>
      <c r="AJ174" s="108" t="s">
        <v>11</v>
      </c>
      <c r="AK174" s="108" t="s">
        <v>11</v>
      </c>
      <c r="AL174" s="108" t="s">
        <v>11</v>
      </c>
      <c r="AM174" s="108" t="s">
        <v>11</v>
      </c>
      <c r="AN174" s="109">
        <f>SUM(C174:AM174)</f>
        <v>12621.789999999999</v>
      </c>
      <c r="AO174" s="110" t="s">
        <v>274</v>
      </c>
      <c r="AP174" s="111" t="s">
        <v>13</v>
      </c>
    </row>
    <row r="175" spans="1:42" ht="15" thickBot="1" x14ac:dyDescent="0.25">
      <c r="A175" s="118"/>
      <c r="B175" s="118"/>
      <c r="C175" s="119"/>
      <c r="D175" s="119"/>
      <c r="E175" s="119"/>
      <c r="F175" s="119"/>
      <c r="G175" s="119"/>
      <c r="H175" s="119"/>
      <c r="I175" s="178"/>
      <c r="J175" s="179"/>
      <c r="K175" s="178"/>
      <c r="L175" s="178"/>
      <c r="M175" s="178"/>
      <c r="N175" s="178"/>
      <c r="O175" s="178"/>
      <c r="P175" s="178"/>
      <c r="Q175" s="178"/>
      <c r="R175" s="178"/>
      <c r="S175" s="179"/>
      <c r="T175" s="179"/>
      <c r="U175" s="178"/>
      <c r="V175" s="178"/>
      <c r="W175" s="178"/>
      <c r="X175" s="178"/>
      <c r="Y175" s="178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80"/>
      <c r="AO175" s="121"/>
      <c r="AP175" s="122"/>
    </row>
    <row r="176" spans="1:42" ht="15.75" thickTop="1" x14ac:dyDescent="0.25">
      <c r="A176" s="181"/>
      <c r="B176" s="181" t="s">
        <v>110</v>
      </c>
      <c r="C176" s="181">
        <f t="shared" ref="C176:H176" si="15">SUM(C174)</f>
        <v>838.85</v>
      </c>
      <c r="D176" s="181">
        <f t="shared" si="15"/>
        <v>474.69</v>
      </c>
      <c r="E176" s="181">
        <f t="shared" si="15"/>
        <v>609.99</v>
      </c>
      <c r="F176" s="181">
        <f t="shared" si="15"/>
        <v>352.59</v>
      </c>
      <c r="G176" s="181">
        <f t="shared" si="15"/>
        <v>763.98</v>
      </c>
      <c r="H176" s="181">
        <f t="shared" si="15"/>
        <v>871.30000000000007</v>
      </c>
      <c r="I176" s="181">
        <f t="shared" ref="I176:AN176" si="16">SUM(I174)</f>
        <v>1057.93</v>
      </c>
      <c r="J176" s="181">
        <f t="shared" si="16"/>
        <v>964.75</v>
      </c>
      <c r="K176" s="181">
        <f t="shared" si="16"/>
        <v>1561.09</v>
      </c>
      <c r="L176" s="181">
        <f t="shared" si="16"/>
        <v>1288.57</v>
      </c>
      <c r="M176" s="181">
        <f t="shared" si="16"/>
        <v>1593.44</v>
      </c>
      <c r="N176" s="181">
        <f t="shared" si="16"/>
        <v>253.13</v>
      </c>
      <c r="O176" s="181">
        <f t="shared" si="16"/>
        <v>65.27</v>
      </c>
      <c r="P176" s="181">
        <f t="shared" si="16"/>
        <v>19.27</v>
      </c>
      <c r="Q176" s="181">
        <f t="shared" si="16"/>
        <v>0</v>
      </c>
      <c r="R176" s="181">
        <f t="shared" si="16"/>
        <v>0</v>
      </c>
      <c r="S176" s="181">
        <f t="shared" si="16"/>
        <v>0</v>
      </c>
      <c r="T176" s="181">
        <f t="shared" si="16"/>
        <v>0</v>
      </c>
      <c r="U176" s="181">
        <f t="shared" si="16"/>
        <v>110.57</v>
      </c>
      <c r="V176" s="181">
        <f t="shared" si="16"/>
        <v>946.84</v>
      </c>
      <c r="W176" s="181">
        <f t="shared" si="16"/>
        <v>631.80999999999995</v>
      </c>
      <c r="X176" s="181">
        <f t="shared" si="16"/>
        <v>200.42</v>
      </c>
      <c r="Y176" s="181">
        <f t="shared" si="16"/>
        <v>17.3</v>
      </c>
      <c r="Z176" s="181">
        <f t="shared" si="16"/>
        <v>0</v>
      </c>
      <c r="AA176" s="181">
        <f t="shared" si="16"/>
        <v>0</v>
      </c>
      <c r="AB176" s="181">
        <f t="shared" si="16"/>
        <v>0</v>
      </c>
      <c r="AC176" s="181">
        <f t="shared" si="16"/>
        <v>0</v>
      </c>
      <c r="AD176" s="181">
        <f t="shared" si="16"/>
        <v>0</v>
      </c>
      <c r="AE176" s="181">
        <f t="shared" si="16"/>
        <v>0</v>
      </c>
      <c r="AF176" s="181">
        <f t="shared" si="16"/>
        <v>0</v>
      </c>
      <c r="AG176" s="181">
        <f t="shared" si="16"/>
        <v>0</v>
      </c>
      <c r="AH176" s="181">
        <f t="shared" si="16"/>
        <v>0</v>
      </c>
      <c r="AI176" s="181">
        <f t="shared" si="16"/>
        <v>0</v>
      </c>
      <c r="AJ176" s="181">
        <f t="shared" si="16"/>
        <v>0</v>
      </c>
      <c r="AK176" s="181">
        <f t="shared" si="16"/>
        <v>0</v>
      </c>
      <c r="AL176" s="181">
        <f t="shared" si="16"/>
        <v>0</v>
      </c>
      <c r="AM176" s="181">
        <f t="shared" si="16"/>
        <v>0</v>
      </c>
      <c r="AN176" s="182">
        <f t="shared" si="16"/>
        <v>12621.789999999999</v>
      </c>
      <c r="AO176" s="183"/>
      <c r="AP176" s="184"/>
    </row>
    <row r="177" spans="1:42" ht="15" x14ac:dyDescent="0.25">
      <c r="A177" s="127"/>
      <c r="B177" s="185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7"/>
      <c r="AO177" s="188"/>
      <c r="AP177" s="189"/>
    </row>
    <row r="178" spans="1:42" ht="15" x14ac:dyDescent="0.25">
      <c r="A178" s="25" t="s">
        <v>3</v>
      </c>
      <c r="B178" s="25" t="s">
        <v>4</v>
      </c>
      <c r="C178" s="25">
        <f t="shared" ref="C178:AL178" si="17">D178+1</f>
        <v>2012</v>
      </c>
      <c r="D178" s="25">
        <f t="shared" si="17"/>
        <v>2011</v>
      </c>
      <c r="E178" s="25">
        <f t="shared" si="17"/>
        <v>2010</v>
      </c>
      <c r="F178" s="25">
        <f t="shared" si="17"/>
        <v>2009</v>
      </c>
      <c r="G178" s="25">
        <f t="shared" si="17"/>
        <v>2008</v>
      </c>
      <c r="H178" s="25">
        <f t="shared" si="17"/>
        <v>2007</v>
      </c>
      <c r="I178" s="25">
        <f t="shared" si="17"/>
        <v>2006</v>
      </c>
      <c r="J178" s="25">
        <f t="shared" si="17"/>
        <v>2005</v>
      </c>
      <c r="K178" s="25">
        <f t="shared" si="17"/>
        <v>2004</v>
      </c>
      <c r="L178" s="25">
        <f t="shared" si="17"/>
        <v>2003</v>
      </c>
      <c r="M178" s="25">
        <f>N178+1</f>
        <v>2002</v>
      </c>
      <c r="N178" s="25">
        <f>O178+1</f>
        <v>2001</v>
      </c>
      <c r="O178" s="25">
        <f>P178+1</f>
        <v>2000</v>
      </c>
      <c r="P178" s="25">
        <f t="shared" si="17"/>
        <v>1999</v>
      </c>
      <c r="Q178" s="25">
        <f t="shared" si="17"/>
        <v>1998</v>
      </c>
      <c r="R178" s="25">
        <f t="shared" si="17"/>
        <v>1997</v>
      </c>
      <c r="S178" s="25">
        <f t="shared" si="17"/>
        <v>1996</v>
      </c>
      <c r="T178" s="25">
        <f t="shared" si="17"/>
        <v>1995</v>
      </c>
      <c r="U178" s="25">
        <f t="shared" si="17"/>
        <v>1994</v>
      </c>
      <c r="V178" s="25">
        <f t="shared" si="17"/>
        <v>1993</v>
      </c>
      <c r="W178" s="25">
        <f t="shared" si="17"/>
        <v>1992</v>
      </c>
      <c r="X178" s="25">
        <f t="shared" si="17"/>
        <v>1991</v>
      </c>
      <c r="Y178" s="25">
        <f t="shared" si="17"/>
        <v>1990</v>
      </c>
      <c r="Z178" s="25">
        <f t="shared" si="17"/>
        <v>1989</v>
      </c>
      <c r="AA178" s="25">
        <f t="shared" si="17"/>
        <v>1988</v>
      </c>
      <c r="AB178" s="25">
        <f t="shared" si="17"/>
        <v>1987</v>
      </c>
      <c r="AC178" s="25">
        <f t="shared" si="17"/>
        <v>1986</v>
      </c>
      <c r="AD178" s="25">
        <f t="shared" si="17"/>
        <v>1985</v>
      </c>
      <c r="AE178" s="25">
        <f t="shared" si="17"/>
        <v>1984</v>
      </c>
      <c r="AF178" s="25">
        <f t="shared" si="17"/>
        <v>1983</v>
      </c>
      <c r="AG178" s="25">
        <f t="shared" si="17"/>
        <v>1982</v>
      </c>
      <c r="AH178" s="25">
        <f t="shared" si="17"/>
        <v>1981</v>
      </c>
      <c r="AI178" s="25">
        <f t="shared" si="17"/>
        <v>1980</v>
      </c>
      <c r="AJ178" s="25">
        <f t="shared" si="17"/>
        <v>1979</v>
      </c>
      <c r="AK178" s="25">
        <f t="shared" si="17"/>
        <v>1978</v>
      </c>
      <c r="AL178" s="25">
        <f t="shared" si="17"/>
        <v>1977</v>
      </c>
      <c r="AM178" s="25">
        <v>1976</v>
      </c>
      <c r="AN178" s="190" t="s">
        <v>5</v>
      </c>
      <c r="AO178" s="191" t="s">
        <v>6</v>
      </c>
      <c r="AP178" s="192" t="s">
        <v>7</v>
      </c>
    </row>
    <row r="179" spans="1:42" ht="15" x14ac:dyDescent="0.25">
      <c r="A179" s="31" t="s">
        <v>282</v>
      </c>
      <c r="B179" s="31" t="s">
        <v>282</v>
      </c>
      <c r="C179" s="193"/>
      <c r="D179" s="193"/>
      <c r="E179" s="193"/>
      <c r="F179" s="193"/>
      <c r="G179" s="193"/>
      <c r="H179" s="193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5"/>
      <c r="AO179" s="196"/>
      <c r="AP179" s="197"/>
    </row>
    <row r="180" spans="1:42" x14ac:dyDescent="0.2">
      <c r="A180" s="37" t="s">
        <v>283</v>
      </c>
      <c r="B180" s="37" t="s">
        <v>284</v>
      </c>
      <c r="C180" s="38">
        <v>2003</v>
      </c>
      <c r="D180" s="38">
        <v>8582</v>
      </c>
      <c r="E180" s="38">
        <v>0</v>
      </c>
      <c r="F180" s="40">
        <v>0</v>
      </c>
      <c r="G180" s="38">
        <v>0</v>
      </c>
      <c r="H180" s="40">
        <v>4638</v>
      </c>
      <c r="I180" s="42">
        <v>22.33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2">
        <v>0</v>
      </c>
      <c r="X180" s="42">
        <v>-105.08</v>
      </c>
      <c r="Y180" s="42">
        <v>0</v>
      </c>
      <c r="Z180" s="42">
        <v>0</v>
      </c>
      <c r="AA180" s="42">
        <v>0</v>
      </c>
      <c r="AB180" s="42">
        <v>0</v>
      </c>
      <c r="AC180" s="42">
        <v>6</v>
      </c>
      <c r="AD180" s="42">
        <v>8</v>
      </c>
      <c r="AE180" s="42">
        <v>5</v>
      </c>
      <c r="AF180" s="42">
        <v>13</v>
      </c>
      <c r="AG180" s="42">
        <v>538</v>
      </c>
      <c r="AH180" s="42">
        <v>952</v>
      </c>
      <c r="AI180" s="42">
        <v>1125</v>
      </c>
      <c r="AJ180" s="42">
        <f>411+411</f>
        <v>822</v>
      </c>
      <c r="AK180" s="42">
        <f>433+433</f>
        <v>866</v>
      </c>
      <c r="AL180" s="42">
        <v>1356</v>
      </c>
      <c r="AM180" s="42">
        <f>1442+24</f>
        <v>1466</v>
      </c>
      <c r="AN180" s="44">
        <f t="shared" ref="AN180:AN204" si="18">SUM(C180:AM180)</f>
        <v>22297.25</v>
      </c>
      <c r="AO180" s="45" t="s">
        <v>285</v>
      </c>
      <c r="AP180" s="46" t="s">
        <v>13</v>
      </c>
    </row>
    <row r="181" spans="1:42" x14ac:dyDescent="0.2">
      <c r="A181" s="37" t="s">
        <v>283</v>
      </c>
      <c r="B181" s="198" t="s">
        <v>11</v>
      </c>
      <c r="C181" s="59">
        <v>0</v>
      </c>
      <c r="D181" s="59">
        <v>0</v>
      </c>
      <c r="E181" s="59">
        <v>0</v>
      </c>
      <c r="F181" s="40">
        <v>0</v>
      </c>
      <c r="G181" s="38">
        <v>0</v>
      </c>
      <c r="H181" s="38">
        <v>0</v>
      </c>
      <c r="I181" s="42">
        <v>1137.6300000000001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>
        <v>0</v>
      </c>
      <c r="U181" s="42">
        <v>0</v>
      </c>
      <c r="V181" s="42">
        <v>0</v>
      </c>
      <c r="W181" s="42">
        <v>0</v>
      </c>
      <c r="X181" s="42">
        <v>0</v>
      </c>
      <c r="Y181" s="42">
        <v>0</v>
      </c>
      <c r="Z181" s="42">
        <v>0</v>
      </c>
      <c r="AA181" s="42">
        <v>0</v>
      </c>
      <c r="AB181" s="42">
        <v>0</v>
      </c>
      <c r="AC181" s="42">
        <v>0</v>
      </c>
      <c r="AD181" s="42">
        <v>0</v>
      </c>
      <c r="AE181" s="42">
        <v>82</v>
      </c>
      <c r="AF181" s="42">
        <v>38.89</v>
      </c>
      <c r="AG181" s="42">
        <v>1131</v>
      </c>
      <c r="AH181" s="42">
        <v>1388</v>
      </c>
      <c r="AI181" s="42">
        <v>1485</v>
      </c>
      <c r="AJ181" s="42">
        <v>1277</v>
      </c>
      <c r="AK181" s="42">
        <v>443</v>
      </c>
      <c r="AL181" s="42">
        <v>1729</v>
      </c>
      <c r="AM181" s="42">
        <v>2366</v>
      </c>
      <c r="AN181" s="44">
        <f t="shared" si="18"/>
        <v>11077.52</v>
      </c>
      <c r="AO181" s="45" t="s">
        <v>285</v>
      </c>
      <c r="AP181" s="46" t="s">
        <v>13</v>
      </c>
    </row>
    <row r="182" spans="1:42" x14ac:dyDescent="0.2">
      <c r="A182" s="48" t="s">
        <v>283</v>
      </c>
      <c r="B182" s="62" t="s">
        <v>11</v>
      </c>
      <c r="C182" s="60">
        <v>0</v>
      </c>
      <c r="D182" s="60">
        <v>0</v>
      </c>
      <c r="E182" s="60">
        <v>0</v>
      </c>
      <c r="F182" s="39">
        <v>0</v>
      </c>
      <c r="G182" s="39">
        <v>0</v>
      </c>
      <c r="H182" s="39">
        <v>0</v>
      </c>
      <c r="I182" s="49">
        <v>902.36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49">
        <v>0</v>
      </c>
      <c r="W182" s="49">
        <f>-68.58</f>
        <v>-68.58</v>
      </c>
      <c r="X182" s="49">
        <v>-902.89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49">
        <v>0</v>
      </c>
      <c r="AE182" s="49">
        <v>6</v>
      </c>
      <c r="AF182" s="49">
        <v>1</v>
      </c>
      <c r="AG182" s="49">
        <v>962</v>
      </c>
      <c r="AH182" s="49">
        <v>3064</v>
      </c>
      <c r="AI182" s="49">
        <v>2643</v>
      </c>
      <c r="AJ182" s="49">
        <f>791+2252.56</f>
        <v>3043.56</v>
      </c>
      <c r="AK182" s="49">
        <f>0.76+0.24</f>
        <v>1</v>
      </c>
      <c r="AL182" s="49">
        <v>3438</v>
      </c>
      <c r="AM182" s="49">
        <v>3675</v>
      </c>
      <c r="AN182" s="51">
        <f t="shared" si="18"/>
        <v>16764.449999999997</v>
      </c>
      <c r="AO182" s="52" t="s">
        <v>285</v>
      </c>
      <c r="AP182" s="53" t="s">
        <v>13</v>
      </c>
    </row>
    <row r="183" spans="1:42" x14ac:dyDescent="0.2">
      <c r="A183" s="48" t="s">
        <v>283</v>
      </c>
      <c r="B183" s="48" t="s">
        <v>286</v>
      </c>
      <c r="C183" s="39">
        <v>991.3</v>
      </c>
      <c r="D183" s="39">
        <v>0</v>
      </c>
      <c r="E183" s="39">
        <v>0</v>
      </c>
      <c r="F183" s="39">
        <v>0</v>
      </c>
      <c r="G183" s="3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141.78</v>
      </c>
      <c r="N183" s="49">
        <v>239.34</v>
      </c>
      <c r="O183" s="49">
        <v>0</v>
      </c>
      <c r="P183" s="49">
        <v>0</v>
      </c>
      <c r="Q183" s="49">
        <v>1537.99</v>
      </c>
      <c r="R183" s="49">
        <v>0</v>
      </c>
      <c r="S183" s="49">
        <v>0</v>
      </c>
      <c r="T183" s="49">
        <v>0</v>
      </c>
      <c r="U183" s="49">
        <v>0</v>
      </c>
      <c r="V183" s="49">
        <v>0</v>
      </c>
      <c r="W183" s="49">
        <f>-160.94</f>
        <v>-160.94</v>
      </c>
      <c r="X183" s="49">
        <f>-(1000.85+1256.64)</f>
        <v>-2257.4900000000002</v>
      </c>
      <c r="Y183" s="49">
        <v>0</v>
      </c>
      <c r="Z183" s="49">
        <v>0</v>
      </c>
      <c r="AA183" s="49">
        <v>0</v>
      </c>
      <c r="AB183" s="49">
        <v>0</v>
      </c>
      <c r="AC183" s="49">
        <v>0</v>
      </c>
      <c r="AD183" s="49">
        <v>0</v>
      </c>
      <c r="AE183" s="49">
        <v>0</v>
      </c>
      <c r="AF183" s="49">
        <v>2</v>
      </c>
      <c r="AG183" s="49">
        <v>1083</v>
      </c>
      <c r="AH183" s="49">
        <v>2754</v>
      </c>
      <c r="AI183" s="49">
        <v>3607</v>
      </c>
      <c r="AJ183" s="49">
        <f>629+198.48</f>
        <v>827.48</v>
      </c>
      <c r="AK183" s="49">
        <f>3329+1051.2</f>
        <v>4380.2</v>
      </c>
      <c r="AL183" s="49">
        <v>2745</v>
      </c>
      <c r="AM183" s="49">
        <v>4170</v>
      </c>
      <c r="AN183" s="51">
        <f t="shared" si="18"/>
        <v>20060.66</v>
      </c>
      <c r="AO183" s="52" t="s">
        <v>285</v>
      </c>
      <c r="AP183" s="53" t="s">
        <v>13</v>
      </c>
    </row>
    <row r="184" spans="1:42" x14ac:dyDescent="0.2">
      <c r="A184" s="48" t="s">
        <v>287</v>
      </c>
      <c r="B184" s="62" t="s">
        <v>11</v>
      </c>
      <c r="C184" s="60">
        <v>0</v>
      </c>
      <c r="D184" s="60">
        <v>0</v>
      </c>
      <c r="E184" s="60">
        <v>0</v>
      </c>
      <c r="F184" s="49">
        <v>0</v>
      </c>
      <c r="G184" s="49">
        <v>0</v>
      </c>
      <c r="H184" s="49">
        <v>0</v>
      </c>
      <c r="I184" s="49">
        <v>0</v>
      </c>
      <c r="J184" s="49">
        <v>0</v>
      </c>
      <c r="K184" s="49">
        <v>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  <c r="V184" s="49">
        <v>0</v>
      </c>
      <c r="W184" s="49">
        <f>-99.17</f>
        <v>-99.17</v>
      </c>
      <c r="X184" s="49">
        <v>-1398.07</v>
      </c>
      <c r="Y184" s="49">
        <v>0</v>
      </c>
      <c r="Z184" s="49">
        <v>0</v>
      </c>
      <c r="AA184" s="49">
        <v>0</v>
      </c>
      <c r="AB184" s="49">
        <v>0</v>
      </c>
      <c r="AC184" s="49">
        <v>0</v>
      </c>
      <c r="AD184" s="49">
        <v>0</v>
      </c>
      <c r="AE184" s="49">
        <v>0</v>
      </c>
      <c r="AF184" s="49">
        <v>0</v>
      </c>
      <c r="AG184" s="49">
        <v>0</v>
      </c>
      <c r="AH184" s="49">
        <v>3072</v>
      </c>
      <c r="AI184" s="49">
        <v>2455</v>
      </c>
      <c r="AJ184" s="49">
        <v>1897</v>
      </c>
      <c r="AK184" s="49">
        <v>512</v>
      </c>
      <c r="AL184" s="49">
        <v>1633</v>
      </c>
      <c r="AM184" s="49">
        <v>1712</v>
      </c>
      <c r="AN184" s="51">
        <f t="shared" si="18"/>
        <v>9783.76</v>
      </c>
      <c r="AO184" s="52" t="s">
        <v>285</v>
      </c>
      <c r="AP184" s="53" t="s">
        <v>13</v>
      </c>
    </row>
    <row r="185" spans="1:42" x14ac:dyDescent="0.2">
      <c r="A185" s="48" t="s">
        <v>288</v>
      </c>
      <c r="B185" s="62" t="s">
        <v>11</v>
      </c>
      <c r="C185" s="60">
        <v>0</v>
      </c>
      <c r="D185" s="60">
        <v>0</v>
      </c>
      <c r="E185" s="60">
        <v>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>
        <v>0</v>
      </c>
      <c r="W185" s="49">
        <f>-91.55</f>
        <v>-91.55</v>
      </c>
      <c r="X185" s="49">
        <v>-1380.94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49">
        <v>0</v>
      </c>
      <c r="AE185" s="49">
        <v>0</v>
      </c>
      <c r="AF185" s="49">
        <v>0</v>
      </c>
      <c r="AG185" s="49">
        <v>220</v>
      </c>
      <c r="AH185" s="49">
        <v>880</v>
      </c>
      <c r="AI185" s="49">
        <v>720</v>
      </c>
      <c r="AJ185" s="49">
        <v>219</v>
      </c>
      <c r="AK185" s="49">
        <v>1667</v>
      </c>
      <c r="AL185" s="49">
        <v>707</v>
      </c>
      <c r="AM185" s="49">
        <v>1041</v>
      </c>
      <c r="AN185" s="51">
        <f t="shared" si="18"/>
        <v>3981.51</v>
      </c>
      <c r="AO185" s="52" t="s">
        <v>285</v>
      </c>
      <c r="AP185" s="53" t="s">
        <v>13</v>
      </c>
    </row>
    <row r="186" spans="1:42" x14ac:dyDescent="0.2">
      <c r="A186" s="48" t="s">
        <v>288</v>
      </c>
      <c r="B186" s="62" t="s">
        <v>11</v>
      </c>
      <c r="C186" s="60">
        <v>0</v>
      </c>
      <c r="D186" s="60">
        <v>0</v>
      </c>
      <c r="E186" s="60">
        <v>0</v>
      </c>
      <c r="F186" s="49">
        <v>0</v>
      </c>
      <c r="G186" s="49">
        <v>0</v>
      </c>
      <c r="H186" s="49">
        <v>0</v>
      </c>
      <c r="I186" s="49">
        <v>0</v>
      </c>
      <c r="J186" s="49">
        <v>0</v>
      </c>
      <c r="K186" s="49">
        <v>0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49">
        <v>0</v>
      </c>
      <c r="S186" s="49">
        <v>0</v>
      </c>
      <c r="T186" s="49">
        <v>0</v>
      </c>
      <c r="U186" s="49">
        <v>0</v>
      </c>
      <c r="V186" s="49">
        <v>0</v>
      </c>
      <c r="W186" s="49">
        <f>-(34.49+45+59)</f>
        <v>-138.49</v>
      </c>
      <c r="X186" s="49">
        <f>-(1975.2+812+897)</f>
        <v>-3684.2</v>
      </c>
      <c r="Y186" s="49">
        <v>0</v>
      </c>
      <c r="Z186" s="49">
        <v>0</v>
      </c>
      <c r="AA186" s="49">
        <v>0</v>
      </c>
      <c r="AB186" s="49">
        <v>0</v>
      </c>
      <c r="AC186" s="49">
        <v>0</v>
      </c>
      <c r="AD186" s="49">
        <v>0</v>
      </c>
      <c r="AE186" s="49">
        <v>0</v>
      </c>
      <c r="AF186" s="49">
        <v>8</v>
      </c>
      <c r="AG186" s="49">
        <v>2522</v>
      </c>
      <c r="AH186" s="49">
        <v>6105</v>
      </c>
      <c r="AI186" s="49">
        <v>5807</v>
      </c>
      <c r="AJ186" s="49">
        <v>5248</v>
      </c>
      <c r="AK186" s="49">
        <v>3902</v>
      </c>
      <c r="AL186" s="49">
        <v>5053</v>
      </c>
      <c r="AM186" s="49">
        <v>7773</v>
      </c>
      <c r="AN186" s="51">
        <f t="shared" si="18"/>
        <v>32595.31</v>
      </c>
      <c r="AO186" s="52" t="s">
        <v>285</v>
      </c>
      <c r="AP186" s="53" t="s">
        <v>13</v>
      </c>
    </row>
    <row r="187" spans="1:42" x14ac:dyDescent="0.2">
      <c r="A187" s="37" t="s">
        <v>289</v>
      </c>
      <c r="B187" s="198" t="s">
        <v>11</v>
      </c>
      <c r="C187" s="59">
        <v>0</v>
      </c>
      <c r="D187" s="59">
        <v>0</v>
      </c>
      <c r="E187" s="59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42">
        <v>0</v>
      </c>
      <c r="X187" s="42">
        <v>0</v>
      </c>
      <c r="Y187" s="42">
        <v>0</v>
      </c>
      <c r="Z187" s="42">
        <v>0</v>
      </c>
      <c r="AA187" s="42">
        <v>0</v>
      </c>
      <c r="AB187" s="42">
        <v>0</v>
      </c>
      <c r="AC187" s="42">
        <v>0</v>
      </c>
      <c r="AD187" s="42">
        <v>0</v>
      </c>
      <c r="AE187" s="42">
        <v>0</v>
      </c>
      <c r="AF187" s="42">
        <v>0</v>
      </c>
      <c r="AG187" s="42">
        <v>2272</v>
      </c>
      <c r="AH187" s="42">
        <v>2316</v>
      </c>
      <c r="AI187" s="42">
        <v>2148</v>
      </c>
      <c r="AJ187" s="42">
        <v>2561</v>
      </c>
      <c r="AK187" s="42">
        <v>1906</v>
      </c>
      <c r="AL187" s="42">
        <v>1514</v>
      </c>
      <c r="AM187" s="42">
        <v>2575</v>
      </c>
      <c r="AN187" s="44">
        <f t="shared" si="18"/>
        <v>15292</v>
      </c>
      <c r="AO187" s="45" t="s">
        <v>44</v>
      </c>
      <c r="AP187" s="46" t="s">
        <v>13</v>
      </c>
    </row>
    <row r="188" spans="1:42" x14ac:dyDescent="0.2">
      <c r="A188" s="37" t="s">
        <v>290</v>
      </c>
      <c r="B188" s="198" t="s">
        <v>11</v>
      </c>
      <c r="C188" s="59">
        <v>0</v>
      </c>
      <c r="D188" s="59">
        <v>0</v>
      </c>
      <c r="E188" s="59">
        <v>0</v>
      </c>
      <c r="F188" s="40">
        <v>0</v>
      </c>
      <c r="G188" s="38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f>4.77+10.81</f>
        <v>15.58</v>
      </c>
      <c r="S188" s="42">
        <v>47.48</v>
      </c>
      <c r="T188" s="42">
        <v>67.55</v>
      </c>
      <c r="U188" s="42">
        <v>81.33</v>
      </c>
      <c r="V188" s="42">
        <v>55.59</v>
      </c>
      <c r="W188" s="42">
        <v>64.61</v>
      </c>
      <c r="X188" s="42">
        <v>79.72</v>
      </c>
      <c r="Y188" s="42">
        <v>119.4</v>
      </c>
      <c r="Z188" s="42">
        <v>117</v>
      </c>
      <c r="AA188" s="42">
        <v>89</v>
      </c>
      <c r="AB188" s="42">
        <v>107</v>
      </c>
      <c r="AC188" s="42">
        <v>59</v>
      </c>
      <c r="AD188" s="42">
        <v>31</v>
      </c>
      <c r="AE188" s="42">
        <v>28</v>
      </c>
      <c r="AF188" s="42">
        <v>11.13</v>
      </c>
      <c r="AG188" s="42">
        <v>47</v>
      </c>
      <c r="AH188" s="42">
        <v>1559</v>
      </c>
      <c r="AI188" s="42">
        <v>2759</v>
      </c>
      <c r="AJ188" s="42">
        <v>2513</v>
      </c>
      <c r="AK188" s="42">
        <v>1913</v>
      </c>
      <c r="AL188" s="42">
        <v>3519</v>
      </c>
      <c r="AM188" s="42">
        <v>1655</v>
      </c>
      <c r="AN188" s="44">
        <f t="shared" si="18"/>
        <v>14938.39</v>
      </c>
      <c r="AO188" s="45" t="s">
        <v>44</v>
      </c>
      <c r="AP188" s="46" t="s">
        <v>13</v>
      </c>
    </row>
    <row r="189" spans="1:42" x14ac:dyDescent="0.2">
      <c r="A189" s="37" t="s">
        <v>291</v>
      </c>
      <c r="B189" s="37" t="s">
        <v>292</v>
      </c>
      <c r="C189" s="38">
        <v>0</v>
      </c>
      <c r="D189" s="38">
        <v>0</v>
      </c>
      <c r="E189" s="38">
        <v>0</v>
      </c>
      <c r="F189" s="55">
        <v>0</v>
      </c>
      <c r="G189" s="38">
        <v>0</v>
      </c>
      <c r="H189" s="42">
        <v>0</v>
      </c>
      <c r="I189" s="42">
        <v>0</v>
      </c>
      <c r="J189" s="61">
        <v>3.64</v>
      </c>
      <c r="K189" s="42">
        <v>0</v>
      </c>
      <c r="L189" s="42">
        <v>6.38</v>
      </c>
      <c r="M189" s="42">
        <v>259.72000000000003</v>
      </c>
      <c r="N189" s="42">
        <v>299.86</v>
      </c>
      <c r="O189" s="42">
        <v>415.17</v>
      </c>
      <c r="P189" s="42">
        <v>448.96</v>
      </c>
      <c r="Q189" s="42">
        <v>357.21</v>
      </c>
      <c r="R189" s="42">
        <v>486.79</v>
      </c>
      <c r="S189" s="42">
        <v>383.7</v>
      </c>
      <c r="T189" s="42">
        <v>338.54</v>
      </c>
      <c r="U189" s="42">
        <v>435.86</v>
      </c>
      <c r="V189" s="42">
        <v>264.2</v>
      </c>
      <c r="W189" s="42">
        <v>287.83</v>
      </c>
      <c r="X189" s="42">
        <v>279.93</v>
      </c>
      <c r="Y189" s="42">
        <v>274.36</v>
      </c>
      <c r="Z189" s="42">
        <v>179</v>
      </c>
      <c r="AA189" s="42">
        <v>66</v>
      </c>
      <c r="AB189" s="43" t="s">
        <v>11</v>
      </c>
      <c r="AC189" s="43" t="s">
        <v>11</v>
      </c>
      <c r="AD189" s="43" t="s">
        <v>11</v>
      </c>
      <c r="AE189" s="43" t="s">
        <v>11</v>
      </c>
      <c r="AF189" s="43" t="s">
        <v>11</v>
      </c>
      <c r="AG189" s="43" t="s">
        <v>11</v>
      </c>
      <c r="AH189" s="43" t="s">
        <v>11</v>
      </c>
      <c r="AI189" s="43" t="s">
        <v>11</v>
      </c>
      <c r="AJ189" s="43" t="s">
        <v>11</v>
      </c>
      <c r="AK189" s="43" t="s">
        <v>11</v>
      </c>
      <c r="AL189" s="43" t="s">
        <v>11</v>
      </c>
      <c r="AM189" s="43" t="s">
        <v>11</v>
      </c>
      <c r="AN189" s="44">
        <f t="shared" si="18"/>
        <v>4787.1499999999996</v>
      </c>
      <c r="AO189" s="45" t="s">
        <v>44</v>
      </c>
      <c r="AP189" s="46" t="s">
        <v>13</v>
      </c>
    </row>
    <row r="190" spans="1:42" x14ac:dyDescent="0.2">
      <c r="A190" s="37" t="s">
        <v>293</v>
      </c>
      <c r="B190" s="37" t="s">
        <v>294</v>
      </c>
      <c r="C190" s="38">
        <v>0</v>
      </c>
      <c r="D190" s="38">
        <v>0</v>
      </c>
      <c r="E190" s="38">
        <v>0</v>
      </c>
      <c r="F190" s="55">
        <v>0</v>
      </c>
      <c r="G190" s="38">
        <v>0</v>
      </c>
      <c r="H190" s="42">
        <v>0</v>
      </c>
      <c r="I190" s="42">
        <v>0</v>
      </c>
      <c r="J190" s="61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69.760000000000005</v>
      </c>
      <c r="S190" s="42">
        <v>0.69</v>
      </c>
      <c r="T190" s="42">
        <v>0</v>
      </c>
      <c r="U190" s="42">
        <v>0</v>
      </c>
      <c r="V190" s="42">
        <v>0</v>
      </c>
      <c r="W190" s="42">
        <v>0</v>
      </c>
      <c r="X190" s="42">
        <v>0</v>
      </c>
      <c r="Y190" s="42">
        <v>924.58</v>
      </c>
      <c r="Z190" s="42">
        <v>1150</v>
      </c>
      <c r="AA190" s="42">
        <v>994</v>
      </c>
      <c r="AB190" s="42">
        <v>1188</v>
      </c>
      <c r="AC190" s="42">
        <v>955</v>
      </c>
      <c r="AD190" s="42">
        <v>1093</v>
      </c>
      <c r="AE190" s="42">
        <v>1372</v>
      </c>
      <c r="AF190" s="42">
        <v>787</v>
      </c>
      <c r="AG190" s="42">
        <v>898</v>
      </c>
      <c r="AH190" s="42">
        <v>1154</v>
      </c>
      <c r="AI190" s="42">
        <v>650</v>
      </c>
      <c r="AJ190" s="42">
        <v>59</v>
      </c>
      <c r="AK190" s="43" t="s">
        <v>11</v>
      </c>
      <c r="AL190" s="43" t="s">
        <v>11</v>
      </c>
      <c r="AM190" s="43" t="s">
        <v>11</v>
      </c>
      <c r="AN190" s="44">
        <f t="shared" si="18"/>
        <v>11295.03</v>
      </c>
      <c r="AO190" s="45" t="s">
        <v>12</v>
      </c>
      <c r="AP190" s="46" t="s">
        <v>13</v>
      </c>
    </row>
    <row r="191" spans="1:42" x14ac:dyDescent="0.2">
      <c r="A191" s="37" t="s">
        <v>295</v>
      </c>
      <c r="B191" s="198" t="s">
        <v>11</v>
      </c>
      <c r="C191" s="59">
        <v>0</v>
      </c>
      <c r="D191" s="59">
        <v>0</v>
      </c>
      <c r="E191" s="38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  <c r="S191" s="42">
        <v>0</v>
      </c>
      <c r="T191" s="42">
        <v>0</v>
      </c>
      <c r="U191" s="42">
        <v>0</v>
      </c>
      <c r="V191" s="42">
        <v>0</v>
      </c>
      <c r="W191" s="42">
        <v>0</v>
      </c>
      <c r="X191" s="42">
        <v>0</v>
      </c>
      <c r="Y191" s="42">
        <v>0</v>
      </c>
      <c r="Z191" s="42">
        <v>0</v>
      </c>
      <c r="AA191" s="42">
        <v>0</v>
      </c>
      <c r="AB191" s="42">
        <v>0</v>
      </c>
      <c r="AC191" s="42">
        <v>0</v>
      </c>
      <c r="AD191" s="42">
        <v>0</v>
      </c>
      <c r="AE191" s="42">
        <v>0</v>
      </c>
      <c r="AF191" s="42">
        <v>0</v>
      </c>
      <c r="AG191" s="42">
        <v>0</v>
      </c>
      <c r="AH191" s="42">
        <v>0</v>
      </c>
      <c r="AI191" s="42">
        <v>1093</v>
      </c>
      <c r="AJ191" s="42">
        <v>1100</v>
      </c>
      <c r="AK191" s="42">
        <v>893</v>
      </c>
      <c r="AL191" s="42">
        <v>953</v>
      </c>
      <c r="AM191" s="42">
        <v>457</v>
      </c>
      <c r="AN191" s="44">
        <f t="shared" si="18"/>
        <v>4496</v>
      </c>
      <c r="AO191" s="45" t="s">
        <v>12</v>
      </c>
      <c r="AP191" s="46" t="s">
        <v>13</v>
      </c>
    </row>
    <row r="192" spans="1:42" x14ac:dyDescent="0.2">
      <c r="A192" s="48" t="s">
        <v>296</v>
      </c>
      <c r="B192" s="62" t="s">
        <v>11</v>
      </c>
      <c r="C192" s="60">
        <v>0</v>
      </c>
      <c r="D192" s="60">
        <v>0</v>
      </c>
      <c r="E192" s="39">
        <v>0</v>
      </c>
      <c r="F192" s="49">
        <v>0</v>
      </c>
      <c r="G192" s="49">
        <v>0</v>
      </c>
      <c r="H192" s="49">
        <v>0</v>
      </c>
      <c r="I192" s="49">
        <v>0</v>
      </c>
      <c r="J192" s="58">
        <v>0</v>
      </c>
      <c r="K192" s="49">
        <v>0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49">
        <v>0</v>
      </c>
      <c r="V192" s="49">
        <v>0</v>
      </c>
      <c r="W192" s="49">
        <v>0</v>
      </c>
      <c r="X192" s="49">
        <v>0</v>
      </c>
      <c r="Y192" s="49">
        <v>0</v>
      </c>
      <c r="Z192" s="49">
        <v>122</v>
      </c>
      <c r="AA192" s="49">
        <v>90</v>
      </c>
      <c r="AB192" s="49">
        <v>75</v>
      </c>
      <c r="AC192" s="49">
        <v>56</v>
      </c>
      <c r="AD192" s="49">
        <v>23</v>
      </c>
      <c r="AE192" s="50" t="s">
        <v>11</v>
      </c>
      <c r="AF192" s="50" t="s">
        <v>11</v>
      </c>
      <c r="AG192" s="50" t="s">
        <v>11</v>
      </c>
      <c r="AH192" s="50" t="s">
        <v>11</v>
      </c>
      <c r="AI192" s="50" t="s">
        <v>11</v>
      </c>
      <c r="AJ192" s="50" t="s">
        <v>11</v>
      </c>
      <c r="AK192" s="50" t="s">
        <v>11</v>
      </c>
      <c r="AL192" s="50" t="s">
        <v>11</v>
      </c>
      <c r="AM192" s="50" t="s">
        <v>11</v>
      </c>
      <c r="AN192" s="51">
        <f t="shared" si="18"/>
        <v>366</v>
      </c>
      <c r="AO192" s="52" t="s">
        <v>12</v>
      </c>
      <c r="AP192" s="53" t="s">
        <v>13</v>
      </c>
    </row>
    <row r="193" spans="1:42" x14ac:dyDescent="0.2">
      <c r="A193" s="48" t="s">
        <v>297</v>
      </c>
      <c r="B193" s="48" t="s">
        <v>298</v>
      </c>
      <c r="C193" s="39">
        <v>476</v>
      </c>
      <c r="D193" s="39">
        <v>438</v>
      </c>
      <c r="E193" s="60">
        <v>553</v>
      </c>
      <c r="F193" s="199">
        <v>550</v>
      </c>
      <c r="G193" s="39">
        <v>715</v>
      </c>
      <c r="H193" s="39">
        <v>681</v>
      </c>
      <c r="I193" s="49">
        <v>562.27</v>
      </c>
      <c r="J193" s="58">
        <v>536.92999999999995</v>
      </c>
      <c r="K193" s="49">
        <v>617.59</v>
      </c>
      <c r="L193" s="49">
        <v>728.96</v>
      </c>
      <c r="M193" s="49">
        <v>1191.3800000000001</v>
      </c>
      <c r="N193" s="49">
        <v>773.09</v>
      </c>
      <c r="O193" s="49">
        <v>721.87</v>
      </c>
      <c r="P193" s="49">
        <v>0</v>
      </c>
      <c r="Q193" s="49">
        <v>0</v>
      </c>
      <c r="R193" s="49">
        <v>0</v>
      </c>
      <c r="S193" s="49">
        <v>0</v>
      </c>
      <c r="T193" s="49">
        <v>0</v>
      </c>
      <c r="U193" s="49">
        <v>0</v>
      </c>
      <c r="V193" s="49">
        <v>0</v>
      </c>
      <c r="W193" s="49">
        <v>0</v>
      </c>
      <c r="X193" s="49">
        <v>0</v>
      </c>
      <c r="Y193" s="49">
        <v>0</v>
      </c>
      <c r="Z193" s="49">
        <v>11</v>
      </c>
      <c r="AA193" s="49">
        <v>225</v>
      </c>
      <c r="AB193" s="49">
        <v>155</v>
      </c>
      <c r="AC193" s="50" t="s">
        <v>11</v>
      </c>
      <c r="AD193" s="50" t="s">
        <v>11</v>
      </c>
      <c r="AE193" s="50" t="s">
        <v>11</v>
      </c>
      <c r="AF193" s="50" t="s">
        <v>11</v>
      </c>
      <c r="AG193" s="50" t="s">
        <v>11</v>
      </c>
      <c r="AH193" s="50" t="s">
        <v>11</v>
      </c>
      <c r="AI193" s="50" t="s">
        <v>11</v>
      </c>
      <c r="AJ193" s="50" t="s">
        <v>11</v>
      </c>
      <c r="AK193" s="50" t="s">
        <v>11</v>
      </c>
      <c r="AL193" s="50" t="s">
        <v>11</v>
      </c>
      <c r="AM193" s="50" t="s">
        <v>11</v>
      </c>
      <c r="AN193" s="51">
        <f t="shared" si="18"/>
        <v>8936.09</v>
      </c>
      <c r="AO193" s="52" t="s">
        <v>12</v>
      </c>
      <c r="AP193" s="53" t="s">
        <v>13</v>
      </c>
    </row>
    <row r="194" spans="1:42" x14ac:dyDescent="0.2">
      <c r="A194" s="48" t="s">
        <v>299</v>
      </c>
      <c r="B194" s="48" t="s">
        <v>300</v>
      </c>
      <c r="C194" s="39">
        <v>0</v>
      </c>
      <c r="D194" s="39">
        <v>0</v>
      </c>
      <c r="E194" s="60">
        <v>0</v>
      </c>
      <c r="F194" s="60">
        <v>0</v>
      </c>
      <c r="G194" s="39">
        <v>0</v>
      </c>
      <c r="H194" s="39">
        <v>16</v>
      </c>
      <c r="I194" s="49">
        <v>295.20999999999998</v>
      </c>
      <c r="J194" s="50" t="s">
        <v>11</v>
      </c>
      <c r="K194" s="50" t="s">
        <v>11</v>
      </c>
      <c r="L194" s="50" t="s">
        <v>11</v>
      </c>
      <c r="M194" s="50" t="s">
        <v>11</v>
      </c>
      <c r="N194" s="50" t="s">
        <v>11</v>
      </c>
      <c r="O194" s="50" t="s">
        <v>11</v>
      </c>
      <c r="P194" s="50" t="s">
        <v>11</v>
      </c>
      <c r="Q194" s="50" t="s">
        <v>11</v>
      </c>
      <c r="R194" s="50" t="s">
        <v>11</v>
      </c>
      <c r="S194" s="50" t="s">
        <v>11</v>
      </c>
      <c r="T194" s="50" t="s">
        <v>11</v>
      </c>
      <c r="U194" s="50" t="s">
        <v>11</v>
      </c>
      <c r="V194" s="50" t="s">
        <v>11</v>
      </c>
      <c r="W194" s="50" t="s">
        <v>11</v>
      </c>
      <c r="X194" s="50" t="s">
        <v>11</v>
      </c>
      <c r="Y194" s="50" t="s">
        <v>11</v>
      </c>
      <c r="Z194" s="50" t="s">
        <v>11</v>
      </c>
      <c r="AA194" s="50" t="s">
        <v>11</v>
      </c>
      <c r="AB194" s="50" t="s">
        <v>11</v>
      </c>
      <c r="AC194" s="50" t="s">
        <v>11</v>
      </c>
      <c r="AD194" s="50" t="s">
        <v>11</v>
      </c>
      <c r="AE194" s="50" t="s">
        <v>11</v>
      </c>
      <c r="AF194" s="50" t="s">
        <v>11</v>
      </c>
      <c r="AG194" s="50" t="s">
        <v>11</v>
      </c>
      <c r="AH194" s="50" t="s">
        <v>11</v>
      </c>
      <c r="AI194" s="50" t="s">
        <v>11</v>
      </c>
      <c r="AJ194" s="50" t="s">
        <v>11</v>
      </c>
      <c r="AK194" s="50" t="s">
        <v>11</v>
      </c>
      <c r="AL194" s="50" t="s">
        <v>11</v>
      </c>
      <c r="AM194" s="50" t="s">
        <v>11</v>
      </c>
      <c r="AN194" s="51">
        <f t="shared" si="18"/>
        <v>311.20999999999998</v>
      </c>
      <c r="AO194" s="52" t="s">
        <v>141</v>
      </c>
      <c r="AP194" s="53" t="s">
        <v>13</v>
      </c>
    </row>
    <row r="195" spans="1:42" x14ac:dyDescent="0.2">
      <c r="A195" s="48" t="s">
        <v>301</v>
      </c>
      <c r="B195" s="48" t="s">
        <v>302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40</v>
      </c>
      <c r="I195" s="49">
        <v>53.51</v>
      </c>
      <c r="J195" s="50">
        <v>0</v>
      </c>
      <c r="K195" s="49">
        <v>0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49">
        <v>0</v>
      </c>
      <c r="S195" s="49">
        <v>2.02</v>
      </c>
      <c r="T195" s="49">
        <v>16.07</v>
      </c>
      <c r="U195" s="49">
        <v>0</v>
      </c>
      <c r="V195" s="49">
        <v>0</v>
      </c>
      <c r="W195" s="49">
        <v>0</v>
      </c>
      <c r="X195" s="49">
        <v>0.67</v>
      </c>
      <c r="Y195" s="49">
        <v>60.96</v>
      </c>
      <c r="Z195" s="49">
        <v>213</v>
      </c>
      <c r="AA195" s="49">
        <v>156</v>
      </c>
      <c r="AB195" s="50" t="s">
        <v>11</v>
      </c>
      <c r="AC195" s="50" t="s">
        <v>11</v>
      </c>
      <c r="AD195" s="50" t="s">
        <v>11</v>
      </c>
      <c r="AE195" s="50" t="s">
        <v>11</v>
      </c>
      <c r="AF195" s="50" t="s">
        <v>11</v>
      </c>
      <c r="AG195" s="50" t="s">
        <v>11</v>
      </c>
      <c r="AH195" s="50" t="s">
        <v>11</v>
      </c>
      <c r="AI195" s="50" t="s">
        <v>11</v>
      </c>
      <c r="AJ195" s="50" t="s">
        <v>11</v>
      </c>
      <c r="AK195" s="50" t="s">
        <v>11</v>
      </c>
      <c r="AL195" s="50" t="s">
        <v>11</v>
      </c>
      <c r="AM195" s="50" t="s">
        <v>11</v>
      </c>
      <c r="AN195" s="51">
        <f t="shared" si="18"/>
        <v>542.23</v>
      </c>
      <c r="AO195" s="52" t="s">
        <v>141</v>
      </c>
      <c r="AP195" s="53" t="s">
        <v>13</v>
      </c>
    </row>
    <row r="196" spans="1:42" x14ac:dyDescent="0.2">
      <c r="A196" s="48" t="s">
        <v>303</v>
      </c>
      <c r="B196" s="48" t="s">
        <v>304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50" t="s">
        <v>11</v>
      </c>
      <c r="I196" s="50" t="s">
        <v>11</v>
      </c>
      <c r="J196" s="50" t="s">
        <v>11</v>
      </c>
      <c r="K196" s="50" t="s">
        <v>11</v>
      </c>
      <c r="L196" s="50" t="s">
        <v>11</v>
      </c>
      <c r="M196" s="50" t="s">
        <v>11</v>
      </c>
      <c r="N196" s="50" t="s">
        <v>11</v>
      </c>
      <c r="O196" s="50" t="s">
        <v>11</v>
      </c>
      <c r="P196" s="50" t="s">
        <v>11</v>
      </c>
      <c r="Q196" s="50" t="s">
        <v>11</v>
      </c>
      <c r="R196" s="50" t="s">
        <v>11</v>
      </c>
      <c r="S196" s="50" t="s">
        <v>11</v>
      </c>
      <c r="T196" s="50" t="s">
        <v>11</v>
      </c>
      <c r="U196" s="50" t="s">
        <v>11</v>
      </c>
      <c r="V196" s="50" t="s">
        <v>11</v>
      </c>
      <c r="W196" s="50" t="s">
        <v>11</v>
      </c>
      <c r="X196" s="50" t="s">
        <v>11</v>
      </c>
      <c r="Y196" s="50" t="s">
        <v>11</v>
      </c>
      <c r="Z196" s="50" t="s">
        <v>11</v>
      </c>
      <c r="AA196" s="50" t="s">
        <v>11</v>
      </c>
      <c r="AB196" s="50" t="s">
        <v>11</v>
      </c>
      <c r="AC196" s="50" t="s">
        <v>11</v>
      </c>
      <c r="AD196" s="50" t="s">
        <v>11</v>
      </c>
      <c r="AE196" s="50" t="s">
        <v>11</v>
      </c>
      <c r="AF196" s="50" t="s">
        <v>11</v>
      </c>
      <c r="AG196" s="50" t="s">
        <v>11</v>
      </c>
      <c r="AH196" s="50" t="s">
        <v>11</v>
      </c>
      <c r="AI196" s="50" t="s">
        <v>11</v>
      </c>
      <c r="AJ196" s="50" t="s">
        <v>11</v>
      </c>
      <c r="AK196" s="50" t="s">
        <v>11</v>
      </c>
      <c r="AL196" s="50" t="s">
        <v>11</v>
      </c>
      <c r="AM196" s="50" t="s">
        <v>11</v>
      </c>
      <c r="AN196" s="51">
        <f t="shared" si="18"/>
        <v>0</v>
      </c>
      <c r="AO196" s="52" t="s">
        <v>141</v>
      </c>
      <c r="AP196" s="53" t="s">
        <v>13</v>
      </c>
    </row>
    <row r="197" spans="1:42" x14ac:dyDescent="0.2">
      <c r="A197" s="37" t="s">
        <v>305</v>
      </c>
      <c r="B197" s="37" t="s">
        <v>306</v>
      </c>
      <c r="C197" s="38">
        <v>0</v>
      </c>
      <c r="D197" s="38">
        <v>0</v>
      </c>
      <c r="E197" s="38">
        <v>0</v>
      </c>
      <c r="F197" s="43">
        <v>0</v>
      </c>
      <c r="G197" s="43">
        <v>0</v>
      </c>
      <c r="H197" s="43">
        <v>0</v>
      </c>
      <c r="I197" s="43">
        <v>44.2</v>
      </c>
      <c r="J197" s="43">
        <v>0.16</v>
      </c>
      <c r="K197" s="43">
        <v>129.18</v>
      </c>
      <c r="L197" s="43">
        <v>513.54999999999995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3">
        <v>0</v>
      </c>
      <c r="Z197" s="43">
        <v>0</v>
      </c>
      <c r="AA197" s="43">
        <v>0</v>
      </c>
      <c r="AB197" s="43">
        <v>0</v>
      </c>
      <c r="AC197" s="43">
        <v>0</v>
      </c>
      <c r="AD197" s="43">
        <v>218</v>
      </c>
      <c r="AE197" s="43">
        <v>2</v>
      </c>
      <c r="AF197" s="43">
        <v>20</v>
      </c>
      <c r="AG197" s="43">
        <v>8</v>
      </c>
      <c r="AH197" s="43">
        <v>966</v>
      </c>
      <c r="AI197" s="43">
        <v>655</v>
      </c>
      <c r="AJ197" s="43">
        <v>930</v>
      </c>
      <c r="AK197" s="43">
        <v>934</v>
      </c>
      <c r="AL197" s="43">
        <v>997</v>
      </c>
      <c r="AM197" s="43">
        <v>405</v>
      </c>
      <c r="AN197" s="44">
        <f t="shared" si="18"/>
        <v>5822.09</v>
      </c>
      <c r="AO197" s="45" t="s">
        <v>12</v>
      </c>
      <c r="AP197" s="46" t="s">
        <v>13</v>
      </c>
    </row>
    <row r="198" spans="1:42" x14ac:dyDescent="0.2">
      <c r="A198" s="37" t="s">
        <v>307</v>
      </c>
      <c r="B198" s="37" t="s">
        <v>308</v>
      </c>
      <c r="C198" s="38">
        <v>0</v>
      </c>
      <c r="D198" s="38">
        <v>0</v>
      </c>
      <c r="E198" s="38">
        <v>0</v>
      </c>
      <c r="F198" s="42" t="s">
        <v>11</v>
      </c>
      <c r="G198" s="42" t="s">
        <v>11</v>
      </c>
      <c r="H198" s="42" t="s">
        <v>11</v>
      </c>
      <c r="I198" s="61" t="s">
        <v>11</v>
      </c>
      <c r="J198" s="61" t="s">
        <v>11</v>
      </c>
      <c r="K198" s="42" t="s">
        <v>11</v>
      </c>
      <c r="L198" s="42" t="s">
        <v>11</v>
      </c>
      <c r="M198" s="42" t="s">
        <v>11</v>
      </c>
      <c r="N198" s="42" t="s">
        <v>11</v>
      </c>
      <c r="O198" s="43" t="s">
        <v>11</v>
      </c>
      <c r="P198" s="43" t="s">
        <v>11</v>
      </c>
      <c r="Q198" s="43" t="s">
        <v>11</v>
      </c>
      <c r="R198" s="43" t="s">
        <v>11</v>
      </c>
      <c r="S198" s="43" t="s">
        <v>11</v>
      </c>
      <c r="T198" s="43" t="s">
        <v>11</v>
      </c>
      <c r="U198" s="43" t="s">
        <v>11</v>
      </c>
      <c r="V198" s="43" t="s">
        <v>11</v>
      </c>
      <c r="W198" s="43" t="s">
        <v>11</v>
      </c>
      <c r="X198" s="43" t="s">
        <v>11</v>
      </c>
      <c r="Y198" s="43" t="s">
        <v>11</v>
      </c>
      <c r="Z198" s="43" t="s">
        <v>11</v>
      </c>
      <c r="AA198" s="43" t="s">
        <v>11</v>
      </c>
      <c r="AB198" s="43" t="s">
        <v>11</v>
      </c>
      <c r="AC198" s="43" t="s">
        <v>11</v>
      </c>
      <c r="AD198" s="43" t="s">
        <v>11</v>
      </c>
      <c r="AE198" s="43" t="s">
        <v>11</v>
      </c>
      <c r="AF198" s="43" t="s">
        <v>11</v>
      </c>
      <c r="AG198" s="43" t="s">
        <v>11</v>
      </c>
      <c r="AH198" s="43" t="s">
        <v>11</v>
      </c>
      <c r="AI198" s="43" t="s">
        <v>11</v>
      </c>
      <c r="AJ198" s="43" t="s">
        <v>11</v>
      </c>
      <c r="AK198" s="43" t="s">
        <v>11</v>
      </c>
      <c r="AL198" s="43" t="s">
        <v>11</v>
      </c>
      <c r="AM198" s="43" t="s">
        <v>11</v>
      </c>
      <c r="AN198" s="44">
        <f t="shared" si="18"/>
        <v>0</v>
      </c>
      <c r="AO198" s="45" t="s">
        <v>141</v>
      </c>
      <c r="AP198" s="46" t="s">
        <v>13</v>
      </c>
    </row>
    <row r="199" spans="1:42" x14ac:dyDescent="0.2">
      <c r="A199" s="37" t="s">
        <v>309</v>
      </c>
      <c r="B199" s="37" t="s">
        <v>308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43">
        <v>0</v>
      </c>
      <c r="J199" s="43">
        <v>0</v>
      </c>
      <c r="K199" s="42">
        <v>0</v>
      </c>
      <c r="L199" s="42">
        <v>402.05</v>
      </c>
      <c r="M199" s="42">
        <v>0</v>
      </c>
      <c r="N199" s="42">
        <v>0</v>
      </c>
      <c r="O199" s="43">
        <v>0</v>
      </c>
      <c r="P199" s="43" t="s">
        <v>11</v>
      </c>
      <c r="Q199" s="43" t="s">
        <v>11</v>
      </c>
      <c r="R199" s="43" t="s">
        <v>11</v>
      </c>
      <c r="S199" s="43" t="s">
        <v>11</v>
      </c>
      <c r="T199" s="43" t="s">
        <v>11</v>
      </c>
      <c r="U199" s="43" t="s">
        <v>11</v>
      </c>
      <c r="V199" s="43" t="s">
        <v>11</v>
      </c>
      <c r="W199" s="43" t="s">
        <v>11</v>
      </c>
      <c r="X199" s="43" t="s">
        <v>11</v>
      </c>
      <c r="Y199" s="43" t="s">
        <v>11</v>
      </c>
      <c r="Z199" s="43" t="s">
        <v>11</v>
      </c>
      <c r="AA199" s="43" t="s">
        <v>11</v>
      </c>
      <c r="AB199" s="43" t="s">
        <v>11</v>
      </c>
      <c r="AC199" s="43" t="s">
        <v>11</v>
      </c>
      <c r="AD199" s="43" t="s">
        <v>11</v>
      </c>
      <c r="AE199" s="43" t="s">
        <v>11</v>
      </c>
      <c r="AF199" s="43" t="s">
        <v>11</v>
      </c>
      <c r="AG199" s="43" t="s">
        <v>11</v>
      </c>
      <c r="AH199" s="43" t="s">
        <v>11</v>
      </c>
      <c r="AI199" s="43" t="s">
        <v>11</v>
      </c>
      <c r="AJ199" s="43" t="s">
        <v>11</v>
      </c>
      <c r="AK199" s="43" t="s">
        <v>11</v>
      </c>
      <c r="AL199" s="43" t="s">
        <v>11</v>
      </c>
      <c r="AM199" s="43" t="s">
        <v>11</v>
      </c>
      <c r="AN199" s="44">
        <f t="shared" si="18"/>
        <v>402.05</v>
      </c>
      <c r="AO199" s="45" t="s">
        <v>141</v>
      </c>
      <c r="AP199" s="46" t="s">
        <v>13</v>
      </c>
    </row>
    <row r="200" spans="1:42" x14ac:dyDescent="0.2">
      <c r="A200" s="37" t="s">
        <v>310</v>
      </c>
      <c r="B200" s="37" t="s">
        <v>311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42">
        <v>0</v>
      </c>
      <c r="J200" s="61">
        <v>0</v>
      </c>
      <c r="K200" s="42">
        <v>0</v>
      </c>
      <c r="L200" s="42">
        <v>0</v>
      </c>
      <c r="M200" s="42">
        <v>0</v>
      </c>
      <c r="N200" s="42">
        <v>0</v>
      </c>
      <c r="O200" s="43">
        <v>5001.1400000000003</v>
      </c>
      <c r="P200" s="43" t="s">
        <v>11</v>
      </c>
      <c r="Q200" s="43" t="s">
        <v>11</v>
      </c>
      <c r="R200" s="43" t="s">
        <v>11</v>
      </c>
      <c r="S200" s="43" t="s">
        <v>11</v>
      </c>
      <c r="T200" s="43" t="s">
        <v>11</v>
      </c>
      <c r="U200" s="43" t="s">
        <v>11</v>
      </c>
      <c r="V200" s="43" t="s">
        <v>11</v>
      </c>
      <c r="W200" s="43" t="s">
        <v>11</v>
      </c>
      <c r="X200" s="43" t="s">
        <v>11</v>
      </c>
      <c r="Y200" s="43" t="s">
        <v>11</v>
      </c>
      <c r="Z200" s="43" t="s">
        <v>11</v>
      </c>
      <c r="AA200" s="43" t="s">
        <v>11</v>
      </c>
      <c r="AB200" s="43" t="s">
        <v>11</v>
      </c>
      <c r="AC200" s="43" t="s">
        <v>11</v>
      </c>
      <c r="AD200" s="43" t="s">
        <v>11</v>
      </c>
      <c r="AE200" s="43" t="s">
        <v>11</v>
      </c>
      <c r="AF200" s="43" t="s">
        <v>11</v>
      </c>
      <c r="AG200" s="43" t="s">
        <v>11</v>
      </c>
      <c r="AH200" s="43" t="s">
        <v>11</v>
      </c>
      <c r="AI200" s="43" t="s">
        <v>11</v>
      </c>
      <c r="AJ200" s="43" t="s">
        <v>11</v>
      </c>
      <c r="AK200" s="43" t="s">
        <v>11</v>
      </c>
      <c r="AL200" s="43" t="s">
        <v>11</v>
      </c>
      <c r="AM200" s="43" t="s">
        <v>11</v>
      </c>
      <c r="AN200" s="44">
        <f t="shared" si="18"/>
        <v>5001.1400000000003</v>
      </c>
      <c r="AO200" s="45" t="s">
        <v>260</v>
      </c>
      <c r="AP200" s="46" t="s">
        <v>13</v>
      </c>
    </row>
    <row r="201" spans="1:42" x14ac:dyDescent="0.2">
      <c r="A201" s="37" t="s">
        <v>312</v>
      </c>
      <c r="B201" s="37" t="s">
        <v>313</v>
      </c>
      <c r="C201" s="38">
        <v>0</v>
      </c>
      <c r="D201" s="38">
        <v>0</v>
      </c>
      <c r="E201" s="38">
        <v>0</v>
      </c>
      <c r="F201" s="55">
        <v>746</v>
      </c>
      <c r="G201" s="38">
        <v>814</v>
      </c>
      <c r="H201" s="38">
        <v>1036</v>
      </c>
      <c r="I201" s="42">
        <v>527.35</v>
      </c>
      <c r="J201" s="61">
        <v>1060.1500000000001</v>
      </c>
      <c r="K201" s="42">
        <v>1010.8</v>
      </c>
      <c r="L201" s="42">
        <v>463.7</v>
      </c>
      <c r="M201" s="42">
        <v>335</v>
      </c>
      <c r="N201" s="42">
        <v>101</v>
      </c>
      <c r="O201" s="42">
        <v>46.1</v>
      </c>
      <c r="P201" s="42" t="s">
        <v>11</v>
      </c>
      <c r="Q201" s="42" t="s">
        <v>11</v>
      </c>
      <c r="R201" s="42" t="s">
        <v>11</v>
      </c>
      <c r="S201" s="42" t="s">
        <v>11</v>
      </c>
      <c r="T201" s="42" t="s">
        <v>11</v>
      </c>
      <c r="U201" s="42" t="s">
        <v>11</v>
      </c>
      <c r="V201" s="42" t="s">
        <v>11</v>
      </c>
      <c r="W201" s="42" t="s">
        <v>11</v>
      </c>
      <c r="X201" s="42" t="s">
        <v>11</v>
      </c>
      <c r="Y201" s="42" t="s">
        <v>11</v>
      </c>
      <c r="Z201" s="42" t="s">
        <v>11</v>
      </c>
      <c r="AA201" s="42" t="s">
        <v>11</v>
      </c>
      <c r="AB201" s="42" t="s">
        <v>11</v>
      </c>
      <c r="AC201" s="43" t="s">
        <v>11</v>
      </c>
      <c r="AD201" s="43" t="s">
        <v>11</v>
      </c>
      <c r="AE201" s="43" t="s">
        <v>11</v>
      </c>
      <c r="AF201" s="43" t="s">
        <v>11</v>
      </c>
      <c r="AG201" s="43" t="s">
        <v>11</v>
      </c>
      <c r="AH201" s="43" t="s">
        <v>11</v>
      </c>
      <c r="AI201" s="43" t="s">
        <v>11</v>
      </c>
      <c r="AJ201" s="43" t="s">
        <v>11</v>
      </c>
      <c r="AK201" s="43" t="s">
        <v>11</v>
      </c>
      <c r="AL201" s="43" t="s">
        <v>11</v>
      </c>
      <c r="AM201" s="43" t="s">
        <v>11</v>
      </c>
      <c r="AN201" s="44">
        <f t="shared" si="18"/>
        <v>6140.1</v>
      </c>
      <c r="AO201" s="45" t="s">
        <v>260</v>
      </c>
      <c r="AP201" s="46" t="s">
        <v>13</v>
      </c>
    </row>
    <row r="202" spans="1:42" x14ac:dyDescent="0.2">
      <c r="A202" s="48" t="s">
        <v>314</v>
      </c>
      <c r="B202" s="48" t="s">
        <v>315</v>
      </c>
      <c r="C202" s="39">
        <v>0</v>
      </c>
      <c r="D202" s="39">
        <v>0</v>
      </c>
      <c r="E202" s="39">
        <v>0</v>
      </c>
      <c r="F202" s="57">
        <v>325</v>
      </c>
      <c r="G202" s="39">
        <v>164</v>
      </c>
      <c r="H202" s="57">
        <v>1696</v>
      </c>
      <c r="I202" s="58">
        <v>1055.4000000000001</v>
      </c>
      <c r="J202" s="58">
        <v>423.7</v>
      </c>
      <c r="K202" s="49">
        <v>312.8</v>
      </c>
      <c r="L202" s="58">
        <v>134.5</v>
      </c>
      <c r="M202" s="49">
        <v>530.6</v>
      </c>
      <c r="N202" s="58">
        <v>944.44</v>
      </c>
      <c r="O202" s="58">
        <v>1437</v>
      </c>
      <c r="P202" s="58">
        <v>798.05</v>
      </c>
      <c r="Q202" s="58">
        <v>798.05</v>
      </c>
      <c r="R202" s="58">
        <v>1098.3399999999999</v>
      </c>
      <c r="S202" s="58">
        <v>978.61</v>
      </c>
      <c r="T202" s="58">
        <v>924.94</v>
      </c>
      <c r="U202" s="58">
        <v>1156.27</v>
      </c>
      <c r="V202" s="58">
        <v>1101.8499999999999</v>
      </c>
      <c r="W202" s="58">
        <v>725.03</v>
      </c>
      <c r="X202" s="58">
        <v>530.25</v>
      </c>
      <c r="Y202" s="58">
        <v>808.18</v>
      </c>
      <c r="Z202" s="58">
        <v>907</v>
      </c>
      <c r="AA202" s="58">
        <v>658</v>
      </c>
      <c r="AB202" s="58">
        <v>372</v>
      </c>
      <c r="AC202" s="58" t="s">
        <v>11</v>
      </c>
      <c r="AD202" s="58" t="s">
        <v>11</v>
      </c>
      <c r="AE202" s="58" t="s">
        <v>11</v>
      </c>
      <c r="AF202" s="58" t="s">
        <v>11</v>
      </c>
      <c r="AG202" s="58" t="s">
        <v>11</v>
      </c>
      <c r="AH202" s="58" t="s">
        <v>11</v>
      </c>
      <c r="AI202" s="58" t="s">
        <v>11</v>
      </c>
      <c r="AJ202" s="58" t="s">
        <v>11</v>
      </c>
      <c r="AK202" s="58" t="s">
        <v>11</v>
      </c>
      <c r="AL202" s="58" t="s">
        <v>11</v>
      </c>
      <c r="AM202" s="58" t="s">
        <v>11</v>
      </c>
      <c r="AN202" s="51">
        <f t="shared" si="18"/>
        <v>17880.010000000002</v>
      </c>
      <c r="AO202" s="200" t="s">
        <v>260</v>
      </c>
      <c r="AP202" s="201" t="s">
        <v>13</v>
      </c>
    </row>
    <row r="203" spans="1:42" x14ac:dyDescent="0.2">
      <c r="A203" s="48" t="s">
        <v>316</v>
      </c>
      <c r="B203" s="48" t="s">
        <v>317</v>
      </c>
      <c r="C203" s="39">
        <v>1941</v>
      </c>
      <c r="D203" s="39">
        <v>0</v>
      </c>
      <c r="E203" s="39">
        <v>0</v>
      </c>
      <c r="F203" s="60">
        <v>0</v>
      </c>
      <c r="G203" s="39">
        <v>0</v>
      </c>
      <c r="H203" s="39">
        <v>588</v>
      </c>
      <c r="I203" s="39">
        <v>0.21</v>
      </c>
      <c r="J203" s="39">
        <v>0</v>
      </c>
      <c r="K203" s="39">
        <v>252.56</v>
      </c>
      <c r="L203" s="39">
        <v>0.21</v>
      </c>
      <c r="M203" s="39">
        <v>497.56</v>
      </c>
      <c r="N203" s="58" t="s">
        <v>11</v>
      </c>
      <c r="O203" s="58" t="s">
        <v>11</v>
      </c>
      <c r="P203" s="58" t="s">
        <v>11</v>
      </c>
      <c r="Q203" s="58" t="s">
        <v>11</v>
      </c>
      <c r="R203" s="58" t="s">
        <v>11</v>
      </c>
      <c r="S203" s="58" t="s">
        <v>11</v>
      </c>
      <c r="T203" s="58" t="s">
        <v>11</v>
      </c>
      <c r="U203" s="58" t="s">
        <v>11</v>
      </c>
      <c r="V203" s="58" t="s">
        <v>11</v>
      </c>
      <c r="W203" s="58" t="s">
        <v>11</v>
      </c>
      <c r="X203" s="58" t="s">
        <v>11</v>
      </c>
      <c r="Y203" s="58" t="s">
        <v>11</v>
      </c>
      <c r="Z203" s="58" t="s">
        <v>11</v>
      </c>
      <c r="AA203" s="58" t="s">
        <v>11</v>
      </c>
      <c r="AB203" s="58" t="s">
        <v>11</v>
      </c>
      <c r="AC203" s="58" t="s">
        <v>11</v>
      </c>
      <c r="AD203" s="58" t="s">
        <v>11</v>
      </c>
      <c r="AE203" s="58" t="s">
        <v>11</v>
      </c>
      <c r="AF203" s="58" t="s">
        <v>11</v>
      </c>
      <c r="AG203" s="58" t="s">
        <v>11</v>
      </c>
      <c r="AH203" s="58" t="s">
        <v>11</v>
      </c>
      <c r="AI203" s="58" t="s">
        <v>11</v>
      </c>
      <c r="AJ203" s="58" t="s">
        <v>11</v>
      </c>
      <c r="AK203" s="58" t="s">
        <v>11</v>
      </c>
      <c r="AL203" s="58" t="s">
        <v>11</v>
      </c>
      <c r="AM203" s="58" t="s">
        <v>11</v>
      </c>
      <c r="AN203" s="51">
        <f t="shared" si="18"/>
        <v>3279.54</v>
      </c>
      <c r="AO203" s="200" t="s">
        <v>260</v>
      </c>
      <c r="AP203" s="201" t="s">
        <v>13</v>
      </c>
    </row>
    <row r="204" spans="1:42" ht="15" thickBot="1" x14ac:dyDescent="0.25">
      <c r="A204" s="63"/>
      <c r="B204" s="63"/>
      <c r="C204" s="64"/>
      <c r="D204" s="64"/>
      <c r="E204" s="64"/>
      <c r="F204" s="202"/>
      <c r="G204" s="64"/>
      <c r="H204" s="64"/>
      <c r="I204" s="64"/>
      <c r="J204" s="64"/>
      <c r="K204" s="64"/>
      <c r="L204" s="64"/>
      <c r="M204" s="64"/>
      <c r="N204" s="173"/>
      <c r="O204" s="173"/>
      <c r="P204" s="173"/>
      <c r="Q204" s="173"/>
      <c r="R204" s="173"/>
      <c r="S204" s="173"/>
      <c r="T204" s="173"/>
      <c r="U204" s="173"/>
      <c r="V204" s="173"/>
      <c r="W204" s="173"/>
      <c r="X204" s="173"/>
      <c r="Y204" s="173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3"/>
      <c r="AK204" s="173"/>
      <c r="AL204" s="173"/>
      <c r="AM204" s="173"/>
      <c r="AN204" s="51">
        <f t="shared" si="18"/>
        <v>0</v>
      </c>
      <c r="AO204" s="203"/>
      <c r="AP204" s="204"/>
    </row>
    <row r="205" spans="1:42" ht="15.75" thickTop="1" x14ac:dyDescent="0.25">
      <c r="A205" s="205"/>
      <c r="B205" s="205" t="s">
        <v>110</v>
      </c>
      <c r="C205" s="69">
        <f>SUM(C180:C203)</f>
        <v>5411.3</v>
      </c>
      <c r="D205" s="69">
        <f>SUM(D180:D203)</f>
        <v>9020</v>
      </c>
      <c r="E205" s="69">
        <f>SUM(E180:E204)</f>
        <v>553</v>
      </c>
      <c r="F205" s="69">
        <f>SUM(F180:F203)</f>
        <v>1621</v>
      </c>
      <c r="G205" s="69">
        <f>SUM(G180:G203)</f>
        <v>1693</v>
      </c>
      <c r="H205" s="69">
        <f t="shared" ref="H205:AN205" si="19">SUM(H180:H203)</f>
        <v>8695</v>
      </c>
      <c r="I205" s="69">
        <f t="shared" si="19"/>
        <v>4600.47</v>
      </c>
      <c r="J205" s="69">
        <f t="shared" si="19"/>
        <v>2024.5800000000002</v>
      </c>
      <c r="K205" s="69">
        <f t="shared" si="19"/>
        <v>2322.9299999999998</v>
      </c>
      <c r="L205" s="69">
        <f t="shared" si="19"/>
        <v>2249.35</v>
      </c>
      <c r="M205" s="69">
        <f t="shared" si="19"/>
        <v>2956.04</v>
      </c>
      <c r="N205" s="69">
        <f t="shared" si="19"/>
        <v>2357.73</v>
      </c>
      <c r="O205" s="69">
        <f t="shared" si="19"/>
        <v>7621.2800000000007</v>
      </c>
      <c r="P205" s="69">
        <f t="shared" si="19"/>
        <v>1247.01</v>
      </c>
      <c r="Q205" s="69">
        <f t="shared" si="19"/>
        <v>2693.25</v>
      </c>
      <c r="R205" s="69">
        <f t="shared" si="19"/>
        <v>1670.4699999999998</v>
      </c>
      <c r="S205" s="69">
        <f t="shared" si="19"/>
        <v>1412.5</v>
      </c>
      <c r="T205" s="69">
        <f t="shared" si="19"/>
        <v>1347.1000000000001</v>
      </c>
      <c r="U205" s="69">
        <f t="shared" si="19"/>
        <v>1673.46</v>
      </c>
      <c r="V205" s="69">
        <f t="shared" si="19"/>
        <v>1421.6399999999999</v>
      </c>
      <c r="W205" s="69">
        <f t="shared" si="19"/>
        <v>518.74</v>
      </c>
      <c r="X205" s="69">
        <f t="shared" si="19"/>
        <v>-8838.0999999999985</v>
      </c>
      <c r="Y205" s="69">
        <f t="shared" si="19"/>
        <v>2187.48</v>
      </c>
      <c r="Z205" s="69">
        <f t="shared" si="19"/>
        <v>2699</v>
      </c>
      <c r="AA205" s="69">
        <f t="shared" si="19"/>
        <v>2278</v>
      </c>
      <c r="AB205" s="69">
        <f t="shared" si="19"/>
        <v>1897</v>
      </c>
      <c r="AC205" s="69">
        <f t="shared" si="19"/>
        <v>1076</v>
      </c>
      <c r="AD205" s="69">
        <f t="shared" si="19"/>
        <v>1373</v>
      </c>
      <c r="AE205" s="69">
        <f t="shared" si="19"/>
        <v>1495</v>
      </c>
      <c r="AF205" s="69">
        <f t="shared" si="19"/>
        <v>881.02</v>
      </c>
      <c r="AG205" s="69">
        <f t="shared" si="19"/>
        <v>9681</v>
      </c>
      <c r="AH205" s="69">
        <f t="shared" si="19"/>
        <v>24210</v>
      </c>
      <c r="AI205" s="69">
        <f t="shared" si="19"/>
        <v>25147</v>
      </c>
      <c r="AJ205" s="69">
        <f t="shared" si="19"/>
        <v>20497.04</v>
      </c>
      <c r="AK205" s="69">
        <f t="shared" si="19"/>
        <v>17417.2</v>
      </c>
      <c r="AL205" s="69">
        <f t="shared" si="19"/>
        <v>23644</v>
      </c>
      <c r="AM205" s="69">
        <f t="shared" si="19"/>
        <v>27295</v>
      </c>
      <c r="AN205" s="70">
        <f t="shared" si="19"/>
        <v>216049.49</v>
      </c>
      <c r="AO205" s="206"/>
      <c r="AP205" s="207"/>
    </row>
    <row r="206" spans="1:42" ht="15" x14ac:dyDescent="0.25">
      <c r="A206" s="208"/>
      <c r="B206" s="208"/>
      <c r="C206" s="208"/>
      <c r="D206" s="208"/>
      <c r="E206" s="208"/>
      <c r="F206" s="209"/>
      <c r="G206" s="210"/>
      <c r="H206" s="210"/>
      <c r="I206" s="211"/>
      <c r="J206" s="212"/>
      <c r="K206" s="213"/>
      <c r="L206" s="213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/>
      <c r="AF206" s="211"/>
      <c r="AG206" s="211"/>
      <c r="AH206" s="211"/>
      <c r="AI206" s="211"/>
      <c r="AJ206" s="211"/>
      <c r="AK206" s="211"/>
      <c r="AL206" s="211"/>
      <c r="AM206" s="211"/>
      <c r="AN206" s="78"/>
      <c r="AO206" s="214"/>
      <c r="AP206" s="215"/>
    </row>
    <row r="207" spans="1:42" ht="15.75" thickBot="1" x14ac:dyDescent="0.3">
      <c r="A207" s="216"/>
      <c r="B207" s="216"/>
      <c r="C207" s="216"/>
      <c r="D207" s="216"/>
      <c r="E207" s="216"/>
      <c r="F207" s="217"/>
      <c r="G207" s="218"/>
      <c r="H207" s="218"/>
      <c r="I207" s="219"/>
      <c r="J207" s="220"/>
      <c r="K207" s="221"/>
      <c r="L207" s="221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  <c r="Z207" s="219"/>
      <c r="AA207" s="219"/>
      <c r="AB207" s="219"/>
      <c r="AC207" s="219"/>
      <c r="AD207" s="219"/>
      <c r="AE207" s="219"/>
      <c r="AF207" s="219"/>
      <c r="AG207" s="219"/>
      <c r="AH207" s="219"/>
      <c r="AI207" s="219"/>
      <c r="AJ207" s="219"/>
      <c r="AK207" s="219"/>
      <c r="AL207" s="219"/>
      <c r="AM207" s="219"/>
      <c r="AN207" s="222"/>
      <c r="AO207" s="223"/>
      <c r="AP207" s="224"/>
    </row>
    <row r="208" spans="1:42" ht="15.75" thickTop="1" x14ac:dyDescent="0.25">
      <c r="A208" s="225" t="s">
        <v>318</v>
      </c>
      <c r="B208" s="225"/>
      <c r="C208" s="226">
        <f t="shared" ref="C208:AL208" si="20">D208+1</f>
        <v>2012</v>
      </c>
      <c r="D208" s="226">
        <f t="shared" si="20"/>
        <v>2011</v>
      </c>
      <c r="E208" s="226">
        <f t="shared" si="20"/>
        <v>2010</v>
      </c>
      <c r="F208" s="226">
        <f t="shared" si="20"/>
        <v>2009</v>
      </c>
      <c r="G208" s="226">
        <f t="shared" si="20"/>
        <v>2008</v>
      </c>
      <c r="H208" s="226">
        <f t="shared" si="20"/>
        <v>2007</v>
      </c>
      <c r="I208" s="227">
        <f t="shared" si="20"/>
        <v>2006</v>
      </c>
      <c r="J208" s="227">
        <f t="shared" si="20"/>
        <v>2005</v>
      </c>
      <c r="K208" s="227">
        <f t="shared" si="20"/>
        <v>2004</v>
      </c>
      <c r="L208" s="227">
        <f t="shared" si="20"/>
        <v>2003</v>
      </c>
      <c r="M208" s="227">
        <f>N208+1</f>
        <v>2002</v>
      </c>
      <c r="N208" s="227">
        <f>O208+1</f>
        <v>2001</v>
      </c>
      <c r="O208" s="227">
        <f>P208+1</f>
        <v>2000</v>
      </c>
      <c r="P208" s="227">
        <f t="shared" si="20"/>
        <v>1999</v>
      </c>
      <c r="Q208" s="227">
        <f t="shared" si="20"/>
        <v>1998</v>
      </c>
      <c r="R208" s="227">
        <f t="shared" si="20"/>
        <v>1997</v>
      </c>
      <c r="S208" s="227">
        <f t="shared" si="20"/>
        <v>1996</v>
      </c>
      <c r="T208" s="227">
        <f t="shared" si="20"/>
        <v>1995</v>
      </c>
      <c r="U208" s="227">
        <f t="shared" si="20"/>
        <v>1994</v>
      </c>
      <c r="V208" s="227">
        <f t="shared" si="20"/>
        <v>1993</v>
      </c>
      <c r="W208" s="227">
        <f t="shared" si="20"/>
        <v>1992</v>
      </c>
      <c r="X208" s="227">
        <f t="shared" si="20"/>
        <v>1991</v>
      </c>
      <c r="Y208" s="227">
        <f t="shared" si="20"/>
        <v>1990</v>
      </c>
      <c r="Z208" s="227">
        <f t="shared" si="20"/>
        <v>1989</v>
      </c>
      <c r="AA208" s="227">
        <f t="shared" si="20"/>
        <v>1988</v>
      </c>
      <c r="AB208" s="227">
        <f t="shared" si="20"/>
        <v>1987</v>
      </c>
      <c r="AC208" s="227">
        <f t="shared" si="20"/>
        <v>1986</v>
      </c>
      <c r="AD208" s="227">
        <f t="shared" si="20"/>
        <v>1985</v>
      </c>
      <c r="AE208" s="227">
        <f t="shared" si="20"/>
        <v>1984</v>
      </c>
      <c r="AF208" s="227">
        <f t="shared" si="20"/>
        <v>1983</v>
      </c>
      <c r="AG208" s="227">
        <f t="shared" si="20"/>
        <v>1982</v>
      </c>
      <c r="AH208" s="227">
        <f t="shared" si="20"/>
        <v>1981</v>
      </c>
      <c r="AI208" s="227">
        <f t="shared" si="20"/>
        <v>1980</v>
      </c>
      <c r="AJ208" s="227">
        <f t="shared" si="20"/>
        <v>1979</v>
      </c>
      <c r="AK208" s="227">
        <f t="shared" si="20"/>
        <v>1978</v>
      </c>
      <c r="AL208" s="227">
        <f t="shared" si="20"/>
        <v>1977</v>
      </c>
      <c r="AM208" s="227">
        <v>1976</v>
      </c>
      <c r="AN208" s="228" t="s">
        <v>5</v>
      </c>
      <c r="AO208" s="229" t="s">
        <v>6</v>
      </c>
      <c r="AP208" s="230" t="s">
        <v>7</v>
      </c>
    </row>
    <row r="209" spans="1:42" ht="15" x14ac:dyDescent="0.25">
      <c r="A209" s="231"/>
      <c r="B209" s="231" t="s">
        <v>110</v>
      </c>
      <c r="C209" s="232">
        <f>C62+C87+C151+C162+C170+C176+C205</f>
        <v>79897.760000000009</v>
      </c>
      <c r="D209" s="232">
        <f t="shared" ref="D209:N209" si="21">D62+D87+D151+D162+D170+D176+D205</f>
        <v>93108.837</v>
      </c>
      <c r="E209" s="232">
        <f t="shared" si="21"/>
        <v>57222.749999999993</v>
      </c>
      <c r="F209" s="232">
        <f t="shared" si="21"/>
        <v>44220.789999999986</v>
      </c>
      <c r="G209" s="232">
        <f t="shared" si="21"/>
        <v>48751.159999999996</v>
      </c>
      <c r="H209" s="232">
        <f t="shared" si="21"/>
        <v>77605.036192283427</v>
      </c>
      <c r="I209" s="232">
        <f t="shared" si="21"/>
        <v>79763.782372395261</v>
      </c>
      <c r="J209" s="232">
        <f t="shared" si="21"/>
        <v>63300.640000000007</v>
      </c>
      <c r="K209" s="232">
        <f t="shared" si="21"/>
        <v>61288.249999999993</v>
      </c>
      <c r="L209" s="232">
        <f t="shared" si="21"/>
        <v>61765.149999999994</v>
      </c>
      <c r="M209" s="232">
        <f t="shared" si="21"/>
        <v>60810.060000000005</v>
      </c>
      <c r="N209" s="232">
        <f t="shared" si="21"/>
        <v>63495.68</v>
      </c>
      <c r="O209" s="232">
        <f>O59+O87+O151+O162+O170+O176+O205</f>
        <v>57711.799999999996</v>
      </c>
      <c r="P209" s="232">
        <f t="shared" ref="P209:AN209" si="22">P62+P87+P151+P162+P170+P176+P205</f>
        <v>68989</v>
      </c>
      <c r="Q209" s="232">
        <f t="shared" si="22"/>
        <v>54147.59</v>
      </c>
      <c r="R209" s="232">
        <f t="shared" si="22"/>
        <v>63535.33</v>
      </c>
      <c r="S209" s="232">
        <f t="shared" si="22"/>
        <v>58138.090000000004</v>
      </c>
      <c r="T209" s="232">
        <f t="shared" si="22"/>
        <v>48739.48</v>
      </c>
      <c r="U209" s="232">
        <f t="shared" si="22"/>
        <v>51257.499999999993</v>
      </c>
      <c r="V209" s="232">
        <f t="shared" si="22"/>
        <v>44673.289999999994</v>
      </c>
      <c r="W209" s="232">
        <f t="shared" si="22"/>
        <v>30840.500000000007</v>
      </c>
      <c r="X209" s="232">
        <f t="shared" si="22"/>
        <v>7263.4200000000019</v>
      </c>
      <c r="Y209" s="232">
        <f t="shared" si="22"/>
        <v>46134.758000000002</v>
      </c>
      <c r="Z209" s="232">
        <f t="shared" si="22"/>
        <v>43291.630000000005</v>
      </c>
      <c r="AA209" s="232">
        <f t="shared" si="22"/>
        <v>37294.75</v>
      </c>
      <c r="AB209" s="232">
        <f t="shared" si="22"/>
        <v>35362.65</v>
      </c>
      <c r="AC209" s="232">
        <f t="shared" si="22"/>
        <v>34234.58</v>
      </c>
      <c r="AD209" s="232">
        <f t="shared" si="22"/>
        <v>38002.929999999993</v>
      </c>
      <c r="AE209" s="232">
        <f t="shared" si="22"/>
        <v>31683.49</v>
      </c>
      <c r="AF209" s="232">
        <f t="shared" si="22"/>
        <v>32778.32</v>
      </c>
      <c r="AG209" s="232">
        <f t="shared" si="22"/>
        <v>49447.46</v>
      </c>
      <c r="AH209" s="232">
        <f t="shared" si="22"/>
        <v>77383.099999999991</v>
      </c>
      <c r="AI209" s="232">
        <f t="shared" si="22"/>
        <v>67525.91</v>
      </c>
      <c r="AJ209" s="232">
        <f t="shared" si="22"/>
        <v>58707.65</v>
      </c>
      <c r="AK209" s="232">
        <f t="shared" si="22"/>
        <v>43085.8</v>
      </c>
      <c r="AL209" s="232">
        <f t="shared" si="22"/>
        <v>32891.879999999997</v>
      </c>
      <c r="AM209" s="232">
        <f t="shared" si="22"/>
        <v>27766</v>
      </c>
      <c r="AN209" s="233">
        <f t="shared" si="22"/>
        <v>1958420.9935646786</v>
      </c>
      <c r="AO209" s="234" t="s">
        <v>319</v>
      </c>
      <c r="AP209" s="235" t="s">
        <v>319</v>
      </c>
    </row>
    <row r="210" spans="1:42" ht="15" x14ac:dyDescent="0.25">
      <c r="A210" s="231"/>
      <c r="B210" s="231"/>
      <c r="C210" s="236"/>
      <c r="D210" s="236"/>
      <c r="E210" s="236"/>
      <c r="F210" s="236"/>
      <c r="G210" s="236"/>
      <c r="H210" s="236"/>
      <c r="I210" s="236"/>
      <c r="J210" s="236"/>
      <c r="K210" s="236"/>
      <c r="L210" s="236"/>
      <c r="M210" s="236"/>
      <c r="N210" s="236"/>
      <c r="O210" s="236"/>
      <c r="P210" s="236"/>
      <c r="Q210" s="236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36"/>
      <c r="AD210" s="236"/>
      <c r="AE210" s="236"/>
      <c r="AF210" s="236"/>
      <c r="AG210" s="236"/>
      <c r="AH210" s="236"/>
      <c r="AI210" s="236"/>
      <c r="AJ210" s="236"/>
      <c r="AK210" s="236"/>
      <c r="AL210" s="236"/>
      <c r="AM210" s="236"/>
      <c r="AN210" s="237"/>
      <c r="AO210" s="234"/>
      <c r="AP210" s="235"/>
    </row>
    <row r="211" spans="1:42" ht="15" x14ac:dyDescent="0.25">
      <c r="A211" s="232"/>
      <c r="B211" s="232" t="s">
        <v>320</v>
      </c>
      <c r="C211" s="236">
        <f>SUM(C57:C58)+SUM(C73:C84)+C91+SUM(C110:C129)+SUM(C133:C138)+C131+SUM(C155:C160)+C166+C174+SUM(C193:C195)+SUM(C66:C71)+SUM(C197:C199)</f>
        <v>43188.73000000001</v>
      </c>
      <c r="D211" s="236">
        <f t="shared" ref="D211:E211" si="23">SUM(D57:D58)+SUM(D73:D84)+D91+SUM(D110:D129)+SUM(D133:D138)+D131+SUM(D155:D160)+D166+D174+SUM(D193:D195)+SUM(D66:D71)+SUM(D197:D199)</f>
        <v>43978.647000000004</v>
      </c>
      <c r="E211" s="236">
        <f t="shared" si="23"/>
        <v>52001.42</v>
      </c>
      <c r="F211" s="236">
        <f t="shared" ref="F211:AN211" si="24">SUM(F57:F58)+SUM(F73:F84)+F91+SUM(F110:F129)+SUM(F133:F138)+F131+SUM(F155:F160)+F166+F174+SUM(F193:F195)+SUM(F66:F71)+SUM(F197:F199)</f>
        <v>42240.979999999989</v>
      </c>
      <c r="G211" s="236">
        <f t="shared" si="24"/>
        <v>44862.200000000004</v>
      </c>
      <c r="H211" s="236">
        <f t="shared" si="24"/>
        <v>59270.784081172322</v>
      </c>
      <c r="I211" s="236">
        <f t="shared" si="24"/>
        <v>66717.612672395277</v>
      </c>
      <c r="J211" s="236">
        <f t="shared" si="24"/>
        <v>53713.710000000006</v>
      </c>
      <c r="K211" s="236">
        <f t="shared" si="24"/>
        <v>53352.599999999991</v>
      </c>
      <c r="L211" s="236">
        <f t="shared" si="24"/>
        <v>54973.659999999996</v>
      </c>
      <c r="M211" s="236">
        <f t="shared" si="24"/>
        <v>49487.799999999996</v>
      </c>
      <c r="N211" s="236">
        <f t="shared" si="24"/>
        <v>43681.689999999988</v>
      </c>
      <c r="O211" s="236">
        <f t="shared" si="24"/>
        <v>50640.889999999992</v>
      </c>
      <c r="P211" s="236">
        <f t="shared" si="24"/>
        <v>44683.310000000005</v>
      </c>
      <c r="Q211" s="236">
        <f t="shared" si="24"/>
        <v>36313.779999999992</v>
      </c>
      <c r="R211" s="236">
        <f t="shared" si="24"/>
        <v>39980.480000000003</v>
      </c>
      <c r="S211" s="236">
        <f t="shared" si="24"/>
        <v>39763.18</v>
      </c>
      <c r="T211" s="236" t="e">
        <f t="shared" si="24"/>
        <v>#VALUE!</v>
      </c>
      <c r="U211" s="236" t="e">
        <f t="shared" si="24"/>
        <v>#VALUE!</v>
      </c>
      <c r="V211" s="236">
        <f t="shared" si="24"/>
        <v>36443.060000000005</v>
      </c>
      <c r="W211" s="236">
        <f t="shared" si="24"/>
        <v>28408.71</v>
      </c>
      <c r="X211" s="236">
        <f t="shared" si="24"/>
        <v>21894.199999999993</v>
      </c>
      <c r="Y211" s="236">
        <f t="shared" si="24"/>
        <v>31246.409999999996</v>
      </c>
      <c r="Z211" s="236" t="e">
        <f t="shared" si="24"/>
        <v>#VALUE!</v>
      </c>
      <c r="AA211" s="236" t="e">
        <f t="shared" si="24"/>
        <v>#VALUE!</v>
      </c>
      <c r="AB211" s="236" t="e">
        <f t="shared" si="24"/>
        <v>#VALUE!</v>
      </c>
      <c r="AC211" s="236" t="e">
        <f t="shared" si="24"/>
        <v>#VALUE!</v>
      </c>
      <c r="AD211" s="236" t="e">
        <f t="shared" si="24"/>
        <v>#VALUE!</v>
      </c>
      <c r="AE211" s="236" t="e">
        <f t="shared" si="24"/>
        <v>#VALUE!</v>
      </c>
      <c r="AF211" s="236" t="e">
        <f t="shared" si="24"/>
        <v>#VALUE!</v>
      </c>
      <c r="AG211" s="236" t="e">
        <f t="shared" si="24"/>
        <v>#VALUE!</v>
      </c>
      <c r="AH211" s="236" t="e">
        <f t="shared" si="24"/>
        <v>#VALUE!</v>
      </c>
      <c r="AI211" s="236" t="e">
        <f t="shared" si="24"/>
        <v>#VALUE!</v>
      </c>
      <c r="AJ211" s="236" t="e">
        <f t="shared" si="24"/>
        <v>#VALUE!</v>
      </c>
      <c r="AK211" s="236" t="e">
        <f t="shared" si="24"/>
        <v>#VALUE!</v>
      </c>
      <c r="AL211" s="236" t="e">
        <f t="shared" si="24"/>
        <v>#VALUE!</v>
      </c>
      <c r="AM211" s="236" t="e">
        <f t="shared" si="24"/>
        <v>#VALUE!</v>
      </c>
      <c r="AN211" s="237">
        <f t="shared" si="24"/>
        <v>1195478.3037535674</v>
      </c>
      <c r="AO211" s="234" t="s">
        <v>319</v>
      </c>
      <c r="AP211" s="235" t="s">
        <v>319</v>
      </c>
    </row>
    <row r="212" spans="1:42" ht="15" x14ac:dyDescent="0.25">
      <c r="A212" s="238"/>
      <c r="B212" s="238" t="s">
        <v>321</v>
      </c>
      <c r="C212" s="239">
        <f>SUM(C7:C10)+C22+C24+C26+SUM(C28:C30)+C72+SUM(C92:C109)+C130+C132+SUM(C167:C168)+SUM(C183:C192)+SUM(C201:C203)+C32+SUM(C34:C46)+C51+SUM(C53:C56)</f>
        <v>5285.22</v>
      </c>
      <c r="D212" s="239">
        <f t="shared" ref="D212:F212" si="25">SUM(D7:D10)+D22+D24+D26+SUM(D28:D30)+D72+SUM(D92:D109)+D130+D132+SUM(D167:D168)+SUM(D183:D192)+SUM(D201:D203)+D32+SUM(D34:D46)+D51+SUM(D53:D56)</f>
        <v>8028.85</v>
      </c>
      <c r="E212" s="239">
        <f t="shared" si="25"/>
        <v>1018.8499999999999</v>
      </c>
      <c r="F212" s="239">
        <f t="shared" si="25"/>
        <v>1778.04</v>
      </c>
      <c r="G212" s="239">
        <f t="shared" ref="G212:AN212" si="26">SUM(G7:G10)+G13+SUM(G15:G16)+SUM(G18:G19)+SUM(G21:G22)+G24+G26+SUM(G28:G30)+G72+SUM(G92:G109)+G130+G132+SUM(G167:G168)+SUM(G183:G192)+SUM(G201:G203)+G32+SUM(G34:G56)</f>
        <v>3888.96</v>
      </c>
      <c r="H212" s="239">
        <f t="shared" si="26"/>
        <v>13423.252111111111</v>
      </c>
      <c r="I212" s="239">
        <f t="shared" si="26"/>
        <v>10832.929700000001</v>
      </c>
      <c r="J212" s="239">
        <f t="shared" si="26"/>
        <v>9586.93</v>
      </c>
      <c r="K212" s="239">
        <f t="shared" si="26"/>
        <v>7935.65</v>
      </c>
      <c r="L212" s="239">
        <f t="shared" si="26"/>
        <v>6791.4900000000007</v>
      </c>
      <c r="M212" s="239">
        <f t="shared" si="26"/>
        <v>11322.259999999998</v>
      </c>
      <c r="N212" s="239">
        <f t="shared" si="26"/>
        <v>19813.990000000002</v>
      </c>
      <c r="O212" s="239">
        <f t="shared" si="26"/>
        <v>28373.960000000003</v>
      </c>
      <c r="P212" s="239">
        <f t="shared" si="26"/>
        <v>24305.689999999995</v>
      </c>
      <c r="Q212" s="239" t="e">
        <f t="shared" si="26"/>
        <v>#VALUE!</v>
      </c>
      <c r="R212" s="239" t="e">
        <f t="shared" si="26"/>
        <v>#VALUE!</v>
      </c>
      <c r="S212" s="239" t="e">
        <f t="shared" si="26"/>
        <v>#VALUE!</v>
      </c>
      <c r="T212" s="239" t="e">
        <f t="shared" si="26"/>
        <v>#VALUE!</v>
      </c>
      <c r="U212" s="239" t="e">
        <f t="shared" si="26"/>
        <v>#VALUE!</v>
      </c>
      <c r="V212" s="239">
        <f t="shared" si="26"/>
        <v>8230.23</v>
      </c>
      <c r="W212" s="239">
        <f t="shared" si="26"/>
        <v>2500.37</v>
      </c>
      <c r="X212" s="239" t="e">
        <f t="shared" si="26"/>
        <v>#VALUE!</v>
      </c>
      <c r="Y212" s="239" t="e">
        <f t="shared" si="26"/>
        <v>#VALUE!</v>
      </c>
      <c r="Z212" s="239">
        <f t="shared" si="26"/>
        <v>16241.07</v>
      </c>
      <c r="AA212" s="239" t="e">
        <f t="shared" si="26"/>
        <v>#VALUE!</v>
      </c>
      <c r="AB212" s="239" t="e">
        <f t="shared" si="26"/>
        <v>#VALUE!</v>
      </c>
      <c r="AC212" s="239" t="e">
        <f t="shared" si="26"/>
        <v>#VALUE!</v>
      </c>
      <c r="AD212" s="239">
        <f t="shared" si="26"/>
        <v>21413.25</v>
      </c>
      <c r="AE212" s="239">
        <f t="shared" si="26"/>
        <v>18127.02</v>
      </c>
      <c r="AF212" s="239" t="e">
        <f t="shared" si="26"/>
        <v>#VALUE!</v>
      </c>
      <c r="AG212" s="239" t="e">
        <f t="shared" si="26"/>
        <v>#VALUE!</v>
      </c>
      <c r="AH212" s="239" t="e">
        <f t="shared" si="26"/>
        <v>#VALUE!</v>
      </c>
      <c r="AI212" s="239" t="e">
        <f t="shared" si="26"/>
        <v>#VALUE!</v>
      </c>
      <c r="AJ212" s="239" t="e">
        <f t="shared" si="26"/>
        <v>#VALUE!</v>
      </c>
      <c r="AK212" s="239" t="e">
        <f t="shared" si="26"/>
        <v>#VALUE!</v>
      </c>
      <c r="AL212" s="239" t="e">
        <f t="shared" si="26"/>
        <v>#VALUE!</v>
      </c>
      <c r="AM212" s="239" t="e">
        <f t="shared" si="26"/>
        <v>#VALUE!</v>
      </c>
      <c r="AN212" s="240">
        <f t="shared" si="26"/>
        <v>653625.08981111122</v>
      </c>
      <c r="AO212" s="241" t="s">
        <v>319</v>
      </c>
      <c r="AP212" s="242" t="s">
        <v>319</v>
      </c>
    </row>
    <row r="213" spans="1:42" ht="15" x14ac:dyDescent="0.25">
      <c r="A213" s="238"/>
      <c r="B213" s="238" t="s">
        <v>322</v>
      </c>
      <c r="C213" s="238" t="e">
        <f t="shared" ref="C213:E213" si="27">SUM(C11:C12)+C14+C17+C20+C23+C25+C27+C31+C33+SUM(C59:C60)+C85+SUM(C139:C149)+SUM(C180:C182)+C196+C200</f>
        <v>#VALUE!</v>
      </c>
      <c r="D213" s="238" t="e">
        <f t="shared" si="27"/>
        <v>#VALUE!</v>
      </c>
      <c r="E213" s="238" t="e">
        <f t="shared" si="27"/>
        <v>#VALUE!</v>
      </c>
      <c r="F213" s="238" t="e">
        <f t="shared" ref="F213:I213" si="28">SUM(F11:F12)+F14+F17+F20+F23+F25+F27+F31+F33+SUM(F59:F60)+F85+SUM(F139:F149)+SUM(F180:F182)+F196+F200</f>
        <v>#VALUE!</v>
      </c>
      <c r="G213" s="238" t="e">
        <f t="shared" si="28"/>
        <v>#VALUE!</v>
      </c>
      <c r="H213" s="238" t="e">
        <f t="shared" si="28"/>
        <v>#VALUE!</v>
      </c>
      <c r="I213" s="238" t="e">
        <f t="shared" si="28"/>
        <v>#VALUE!</v>
      </c>
      <c r="J213" s="238" t="e">
        <f t="shared" ref="J213:AM213" si="29">SUM(J11:J12)+J14+J17+J20+J23+J25+J27+J31+J33+SUM(J59:J60)+J85+SUM(J139:J149)+J196+J200</f>
        <v>#VALUE!</v>
      </c>
      <c r="K213" s="238" t="e">
        <f t="shared" si="29"/>
        <v>#VALUE!</v>
      </c>
      <c r="L213" s="238" t="e">
        <f t="shared" si="29"/>
        <v>#VALUE!</v>
      </c>
      <c r="M213" s="238" t="e">
        <f t="shared" si="29"/>
        <v>#VALUE!</v>
      </c>
      <c r="N213" s="238" t="e">
        <f t="shared" si="29"/>
        <v>#VALUE!</v>
      </c>
      <c r="O213" s="238" t="e">
        <f t="shared" si="29"/>
        <v>#VALUE!</v>
      </c>
      <c r="P213" s="238" t="e">
        <f t="shared" si="29"/>
        <v>#VALUE!</v>
      </c>
      <c r="Q213" s="238" t="e">
        <f t="shared" si="29"/>
        <v>#VALUE!</v>
      </c>
      <c r="R213" s="238" t="e">
        <f t="shared" si="29"/>
        <v>#VALUE!</v>
      </c>
      <c r="S213" s="238" t="e">
        <f t="shared" si="29"/>
        <v>#VALUE!</v>
      </c>
      <c r="T213" s="238" t="e">
        <f t="shared" si="29"/>
        <v>#VALUE!</v>
      </c>
      <c r="U213" s="238" t="e">
        <f t="shared" si="29"/>
        <v>#VALUE!</v>
      </c>
      <c r="V213" s="238" t="e">
        <f t="shared" si="29"/>
        <v>#VALUE!</v>
      </c>
      <c r="W213" s="238" t="e">
        <f t="shared" si="29"/>
        <v>#VALUE!</v>
      </c>
      <c r="X213" s="238" t="e">
        <f t="shared" si="29"/>
        <v>#VALUE!</v>
      </c>
      <c r="Y213" s="238" t="e">
        <f t="shared" si="29"/>
        <v>#VALUE!</v>
      </c>
      <c r="Z213" s="238" t="e">
        <f t="shared" si="29"/>
        <v>#VALUE!</v>
      </c>
      <c r="AA213" s="238" t="e">
        <f t="shared" si="29"/>
        <v>#VALUE!</v>
      </c>
      <c r="AB213" s="238" t="e">
        <f t="shared" si="29"/>
        <v>#VALUE!</v>
      </c>
      <c r="AC213" s="238" t="e">
        <f t="shared" si="29"/>
        <v>#VALUE!</v>
      </c>
      <c r="AD213" s="238" t="e">
        <f t="shared" si="29"/>
        <v>#VALUE!</v>
      </c>
      <c r="AE213" s="238" t="e">
        <f t="shared" si="29"/>
        <v>#VALUE!</v>
      </c>
      <c r="AF213" s="238" t="e">
        <f t="shared" si="29"/>
        <v>#VALUE!</v>
      </c>
      <c r="AG213" s="238" t="e">
        <f t="shared" si="29"/>
        <v>#VALUE!</v>
      </c>
      <c r="AH213" s="238" t="e">
        <f t="shared" si="29"/>
        <v>#VALUE!</v>
      </c>
      <c r="AI213" s="238" t="e">
        <f t="shared" si="29"/>
        <v>#VALUE!</v>
      </c>
      <c r="AJ213" s="238" t="e">
        <f t="shared" si="29"/>
        <v>#VALUE!</v>
      </c>
      <c r="AK213" s="238" t="e">
        <f t="shared" si="29"/>
        <v>#VALUE!</v>
      </c>
      <c r="AL213" s="238" t="e">
        <f t="shared" si="29"/>
        <v>#VALUE!</v>
      </c>
      <c r="AM213" s="238" t="e">
        <f t="shared" si="29"/>
        <v>#VALUE!</v>
      </c>
      <c r="AN213" s="243">
        <f>SUM(AN11:AN12)+AN14+AN17+AN20+AN23+AN25+AN27+AN31+AN33+SUM(AN59:AN60)+AN85+SUM(AN139:AN149)+SUM(AN180:AN182)+AN196+AN200</f>
        <v>109317.6</v>
      </c>
      <c r="AO213" s="241" t="s">
        <v>319</v>
      </c>
      <c r="AP213" s="242" t="s">
        <v>319</v>
      </c>
    </row>
    <row r="214" spans="1:42" ht="15" x14ac:dyDescent="0.25">
      <c r="A214" s="238"/>
      <c r="B214" s="238" t="s">
        <v>323</v>
      </c>
      <c r="C214" s="238">
        <f t="shared" ref="C214:E214" si="30">C47+C48+C49+C52+C13+C15+C16+C18++C19+C21</f>
        <v>3610.12</v>
      </c>
      <c r="D214" s="238">
        <f t="shared" si="30"/>
        <v>5597.75</v>
      </c>
      <c r="E214" s="238">
        <f t="shared" si="30"/>
        <v>3181.44</v>
      </c>
      <c r="F214" s="238">
        <f>F47+F48+F49+F52+F13+F15+F16+F18++F19+F21</f>
        <v>201.77</v>
      </c>
      <c r="G214" s="58" t="s">
        <v>11</v>
      </c>
      <c r="H214" s="58" t="s">
        <v>11</v>
      </c>
      <c r="I214" s="58" t="s">
        <v>11</v>
      </c>
      <c r="J214" s="58" t="s">
        <v>11</v>
      </c>
      <c r="K214" s="58" t="s">
        <v>11</v>
      </c>
      <c r="L214" s="58" t="s">
        <v>11</v>
      </c>
      <c r="M214" s="58" t="s">
        <v>11</v>
      </c>
      <c r="N214" s="58" t="s">
        <v>11</v>
      </c>
      <c r="O214" s="58" t="s">
        <v>11</v>
      </c>
      <c r="P214" s="58" t="s">
        <v>11</v>
      </c>
      <c r="Q214" s="58" t="s">
        <v>11</v>
      </c>
      <c r="R214" s="58" t="s">
        <v>11</v>
      </c>
      <c r="S214" s="58" t="s">
        <v>11</v>
      </c>
      <c r="T214" s="58" t="s">
        <v>11</v>
      </c>
      <c r="U214" s="58" t="s">
        <v>11</v>
      </c>
      <c r="V214" s="58" t="s">
        <v>11</v>
      </c>
      <c r="W214" s="58" t="s">
        <v>11</v>
      </c>
      <c r="X214" s="58" t="s">
        <v>11</v>
      </c>
      <c r="Y214" s="58" t="s">
        <v>11</v>
      </c>
      <c r="Z214" s="58" t="s">
        <v>11</v>
      </c>
      <c r="AA214" s="58" t="s">
        <v>11</v>
      </c>
      <c r="AB214" s="58" t="s">
        <v>11</v>
      </c>
      <c r="AC214" s="58" t="s">
        <v>11</v>
      </c>
      <c r="AD214" s="58" t="s">
        <v>11</v>
      </c>
      <c r="AE214" s="58" t="s">
        <v>11</v>
      </c>
      <c r="AF214" s="58" t="s">
        <v>11</v>
      </c>
      <c r="AG214" s="58" t="s">
        <v>11</v>
      </c>
      <c r="AH214" s="58" t="s">
        <v>11</v>
      </c>
      <c r="AI214" s="58" t="s">
        <v>11</v>
      </c>
      <c r="AJ214" s="58" t="s">
        <v>11</v>
      </c>
      <c r="AK214" s="58" t="s">
        <v>11</v>
      </c>
      <c r="AL214" s="58" t="s">
        <v>11</v>
      </c>
      <c r="AM214" s="58" t="s">
        <v>11</v>
      </c>
      <c r="AN214" s="243">
        <f>SUM(AN12:AN13)+AN15+AN18+AN21+AN24+AN26+AN28+AN32+AN34+SUM(AN60:AN61)+AN86+SUM(AN140:AN150)+SUM(AN181:AN183)+AN197+AN201</f>
        <v>213507.18</v>
      </c>
      <c r="AO214" s="241" t="s">
        <v>319</v>
      </c>
      <c r="AP214" s="242" t="s">
        <v>319</v>
      </c>
    </row>
    <row r="215" spans="1:42" ht="15" x14ac:dyDescent="0.25">
      <c r="A215" s="73"/>
      <c r="B215" s="73"/>
      <c r="C215" s="73"/>
      <c r="D215" s="73"/>
      <c r="E215" s="73"/>
      <c r="F215" s="244"/>
      <c r="G215" s="210"/>
      <c r="H215" s="210"/>
      <c r="I215" s="210"/>
      <c r="J215" s="210"/>
      <c r="K215" s="210"/>
      <c r="L215" s="210"/>
      <c r="M215" s="210"/>
      <c r="N215" s="210"/>
      <c r="O215" s="245"/>
      <c r="P215" s="245"/>
      <c r="Q215" s="245"/>
      <c r="R215" s="245"/>
      <c r="S215" s="245"/>
      <c r="T215" s="245"/>
      <c r="U215" s="245"/>
      <c r="V215" s="245"/>
      <c r="W215" s="245"/>
      <c r="X215" s="245"/>
      <c r="Y215" s="245"/>
      <c r="Z215" s="245"/>
      <c r="AA215" s="245"/>
      <c r="AB215" s="245"/>
      <c r="AC215" s="245"/>
      <c r="AD215" s="245"/>
      <c r="AE215" s="245"/>
      <c r="AF215" s="245"/>
      <c r="AG215" s="245"/>
      <c r="AH215" s="245"/>
      <c r="AI215" s="245"/>
      <c r="AJ215" s="245"/>
      <c r="AK215" s="245"/>
      <c r="AL215" s="245"/>
      <c r="AM215" s="245"/>
      <c r="AN215" s="78"/>
      <c r="AO215" s="246"/>
      <c r="AP215" s="247"/>
    </row>
    <row r="216" spans="1:42" ht="15.75" thickBot="1" x14ac:dyDescent="0.3">
      <c r="A216" s="248"/>
      <c r="B216" s="248"/>
      <c r="C216" s="248"/>
      <c r="D216" s="248"/>
      <c r="E216" s="248"/>
      <c r="F216" s="249"/>
      <c r="G216" s="250"/>
      <c r="H216" s="250"/>
      <c r="I216" s="251"/>
      <c r="J216" s="252"/>
      <c r="K216" s="251"/>
      <c r="L216" s="251"/>
      <c r="M216" s="251"/>
      <c r="N216" s="251"/>
      <c r="O216" s="251"/>
      <c r="P216" s="251"/>
      <c r="Q216" s="251"/>
      <c r="R216" s="251"/>
      <c r="S216" s="251"/>
      <c r="T216" s="251"/>
      <c r="U216" s="251"/>
      <c r="V216" s="251"/>
      <c r="W216" s="251"/>
      <c r="X216" s="251"/>
      <c r="Y216" s="251"/>
      <c r="Z216" s="251"/>
      <c r="AA216" s="251"/>
      <c r="AB216" s="251"/>
      <c r="AC216" s="251"/>
      <c r="AD216" s="251"/>
      <c r="AE216" s="251"/>
      <c r="AF216" s="251"/>
      <c r="AG216" s="251"/>
      <c r="AH216" s="251"/>
      <c r="AI216" s="251"/>
      <c r="AJ216" s="251"/>
      <c r="AK216" s="251"/>
      <c r="AL216" s="251"/>
      <c r="AM216" s="251"/>
      <c r="AN216" s="253"/>
      <c r="AO216" s="254"/>
      <c r="AP216" s="255"/>
    </row>
    <row r="217" spans="1:42" ht="15.75" thickTop="1" x14ac:dyDescent="0.25">
      <c r="A217" s="256" t="s">
        <v>324</v>
      </c>
      <c r="B217" s="257" t="s">
        <v>4</v>
      </c>
      <c r="C217" s="226">
        <f t="shared" ref="C217:AL217" si="31">D217+1</f>
        <v>2012</v>
      </c>
      <c r="D217" s="226">
        <f t="shared" si="31"/>
        <v>2011</v>
      </c>
      <c r="E217" s="226">
        <f t="shared" si="31"/>
        <v>2010</v>
      </c>
      <c r="F217" s="226">
        <f t="shared" si="31"/>
        <v>2009</v>
      </c>
      <c r="G217" s="226">
        <f t="shared" si="31"/>
        <v>2008</v>
      </c>
      <c r="H217" s="226">
        <f t="shared" si="31"/>
        <v>2007</v>
      </c>
      <c r="I217" s="227">
        <f t="shared" si="31"/>
        <v>2006</v>
      </c>
      <c r="J217" s="227">
        <f t="shared" si="31"/>
        <v>2005</v>
      </c>
      <c r="K217" s="227">
        <f t="shared" si="31"/>
        <v>2004</v>
      </c>
      <c r="L217" s="227">
        <f t="shared" si="31"/>
        <v>2003</v>
      </c>
      <c r="M217" s="227">
        <f>N217+1</f>
        <v>2002</v>
      </c>
      <c r="N217" s="227">
        <f>O217+1</f>
        <v>2001</v>
      </c>
      <c r="O217" s="227">
        <f>P217+1</f>
        <v>2000</v>
      </c>
      <c r="P217" s="227">
        <f t="shared" si="31"/>
        <v>1999</v>
      </c>
      <c r="Q217" s="227">
        <f t="shared" si="31"/>
        <v>1998</v>
      </c>
      <c r="R217" s="227">
        <f t="shared" si="31"/>
        <v>1997</v>
      </c>
      <c r="S217" s="227">
        <f t="shared" si="31"/>
        <v>1996</v>
      </c>
      <c r="T217" s="227">
        <f t="shared" si="31"/>
        <v>1995</v>
      </c>
      <c r="U217" s="227">
        <f t="shared" si="31"/>
        <v>1994</v>
      </c>
      <c r="V217" s="227">
        <f t="shared" si="31"/>
        <v>1993</v>
      </c>
      <c r="W217" s="227">
        <f t="shared" si="31"/>
        <v>1992</v>
      </c>
      <c r="X217" s="227">
        <f t="shared" si="31"/>
        <v>1991</v>
      </c>
      <c r="Y217" s="227">
        <f t="shared" si="31"/>
        <v>1990</v>
      </c>
      <c r="Z217" s="227">
        <f t="shared" si="31"/>
        <v>1989</v>
      </c>
      <c r="AA217" s="227">
        <f t="shared" si="31"/>
        <v>1988</v>
      </c>
      <c r="AB217" s="227">
        <f t="shared" si="31"/>
        <v>1987</v>
      </c>
      <c r="AC217" s="227">
        <f t="shared" si="31"/>
        <v>1986</v>
      </c>
      <c r="AD217" s="227">
        <f t="shared" si="31"/>
        <v>1985</v>
      </c>
      <c r="AE217" s="227">
        <f t="shared" si="31"/>
        <v>1984</v>
      </c>
      <c r="AF217" s="227">
        <f t="shared" si="31"/>
        <v>1983</v>
      </c>
      <c r="AG217" s="227">
        <f t="shared" si="31"/>
        <v>1982</v>
      </c>
      <c r="AH217" s="227">
        <f t="shared" si="31"/>
        <v>1981</v>
      </c>
      <c r="AI217" s="227">
        <f t="shared" si="31"/>
        <v>1980</v>
      </c>
      <c r="AJ217" s="227">
        <f t="shared" si="31"/>
        <v>1979</v>
      </c>
      <c r="AK217" s="227">
        <f t="shared" si="31"/>
        <v>1978</v>
      </c>
      <c r="AL217" s="227">
        <f t="shared" si="31"/>
        <v>1977</v>
      </c>
      <c r="AM217" s="227">
        <v>1976</v>
      </c>
      <c r="AN217" s="228" t="s">
        <v>5</v>
      </c>
      <c r="AO217" s="258" t="s">
        <v>325</v>
      </c>
      <c r="AP217" s="259" t="s">
        <v>7</v>
      </c>
    </row>
    <row r="218" spans="1:42" ht="15" x14ac:dyDescent="0.25">
      <c r="A218" s="260"/>
      <c r="B218" s="261" t="s">
        <v>326</v>
      </c>
      <c r="C218" s="97">
        <f t="shared" ref="C218:I218" si="32">SUM(C66:C85)</f>
        <v>6200.95</v>
      </c>
      <c r="D218" s="97">
        <f t="shared" si="32"/>
        <v>7181.4400000000005</v>
      </c>
      <c r="E218" s="97">
        <f>SUM(E66:E85)</f>
        <v>6051.4</v>
      </c>
      <c r="F218" s="97">
        <f t="shared" si="32"/>
        <v>5830.77</v>
      </c>
      <c r="G218" s="97">
        <f t="shared" si="32"/>
        <v>6612.45</v>
      </c>
      <c r="H218" s="97">
        <f t="shared" si="32"/>
        <v>8727</v>
      </c>
      <c r="I218" s="97">
        <f t="shared" si="32"/>
        <v>8372.56</v>
      </c>
      <c r="J218" s="97">
        <f t="shared" ref="J218:AN218" si="33">SUM(J66:J85)</f>
        <v>7156.76</v>
      </c>
      <c r="K218" s="97">
        <f t="shared" si="33"/>
        <v>7567.0400000000009</v>
      </c>
      <c r="L218" s="97">
        <f t="shared" si="33"/>
        <v>8052.1299999999992</v>
      </c>
      <c r="M218" s="97">
        <f t="shared" si="33"/>
        <v>7234.4599999999991</v>
      </c>
      <c r="N218" s="97">
        <f t="shared" si="33"/>
        <v>7108.58</v>
      </c>
      <c r="O218" s="97">
        <f t="shared" si="33"/>
        <v>8808.57</v>
      </c>
      <c r="P218" s="97">
        <f t="shared" si="33"/>
        <v>7491.08</v>
      </c>
      <c r="Q218" s="97">
        <f t="shared" si="33"/>
        <v>6643.3899999999994</v>
      </c>
      <c r="R218" s="97">
        <f t="shared" si="33"/>
        <v>6203.9199999999992</v>
      </c>
      <c r="S218" s="97">
        <f t="shared" si="33"/>
        <v>7104.25</v>
      </c>
      <c r="T218" s="97">
        <f t="shared" si="33"/>
        <v>8821.6299999999992</v>
      </c>
      <c r="U218" s="97">
        <f t="shared" si="33"/>
        <v>9270.8100000000013</v>
      </c>
      <c r="V218" s="97">
        <f t="shared" si="33"/>
        <v>6755.1200000000008</v>
      </c>
      <c r="W218" s="97">
        <f t="shared" si="33"/>
        <v>4721.3200000000006</v>
      </c>
      <c r="X218" s="97">
        <f t="shared" si="33"/>
        <v>4419.6000000000004</v>
      </c>
      <c r="Y218" s="97">
        <f t="shared" si="33"/>
        <v>3919.5</v>
      </c>
      <c r="Z218" s="97">
        <f t="shared" si="33"/>
        <v>3607.4999999999995</v>
      </c>
      <c r="AA218" s="97">
        <f t="shared" si="33"/>
        <v>3210.6699999999996</v>
      </c>
      <c r="AB218" s="97">
        <f t="shared" si="33"/>
        <v>2688.71</v>
      </c>
      <c r="AC218" s="97">
        <f t="shared" si="33"/>
        <v>1913.96</v>
      </c>
      <c r="AD218" s="97">
        <f t="shared" si="33"/>
        <v>1936.02</v>
      </c>
      <c r="AE218" s="97">
        <f t="shared" si="33"/>
        <v>3003.4599999999996</v>
      </c>
      <c r="AF218" s="97">
        <f t="shared" si="33"/>
        <v>2805.19</v>
      </c>
      <c r="AG218" s="97">
        <f t="shared" si="33"/>
        <v>3398.9</v>
      </c>
      <c r="AH218" s="97">
        <f t="shared" si="33"/>
        <v>3892.85</v>
      </c>
      <c r="AI218" s="97">
        <f t="shared" si="33"/>
        <v>2183.87</v>
      </c>
      <c r="AJ218" s="97">
        <f t="shared" si="33"/>
        <v>172.98</v>
      </c>
      <c r="AK218" s="97">
        <f t="shared" si="33"/>
        <v>0</v>
      </c>
      <c r="AL218" s="97">
        <f t="shared" si="33"/>
        <v>0</v>
      </c>
      <c r="AM218" s="97">
        <f t="shared" si="33"/>
        <v>0</v>
      </c>
      <c r="AN218" s="98">
        <f t="shared" si="33"/>
        <v>189068.84</v>
      </c>
      <c r="AO218" s="142" t="s">
        <v>12</v>
      </c>
      <c r="AP218" s="143" t="s">
        <v>45</v>
      </c>
    </row>
    <row r="219" spans="1:42" ht="15" x14ac:dyDescent="0.25">
      <c r="A219" s="260"/>
      <c r="B219" s="261" t="s">
        <v>327</v>
      </c>
      <c r="C219" s="97">
        <f t="shared" ref="C219:AN219" si="34">SUM(C91:C138)</f>
        <v>33476.15</v>
      </c>
      <c r="D219" s="97">
        <f t="shared" si="34"/>
        <v>33852.717000000011</v>
      </c>
      <c r="E219" s="97">
        <f>SUM(E91:E138)</f>
        <v>41908.579999999994</v>
      </c>
      <c r="F219" s="97">
        <f t="shared" si="34"/>
        <v>32040.189999999995</v>
      </c>
      <c r="G219" s="97">
        <f t="shared" si="34"/>
        <v>32670.599999999995</v>
      </c>
      <c r="H219" s="97">
        <f t="shared" si="34"/>
        <v>43507.728081172325</v>
      </c>
      <c r="I219" s="97">
        <f t="shared" si="34"/>
        <v>51182.749372395272</v>
      </c>
      <c r="J219" s="97">
        <f t="shared" si="34"/>
        <v>40534.220000000008</v>
      </c>
      <c r="K219" s="97">
        <f t="shared" si="34"/>
        <v>37937.319999999992</v>
      </c>
      <c r="L219" s="97">
        <f t="shared" si="34"/>
        <v>37892.06</v>
      </c>
      <c r="M219" s="97">
        <f t="shared" si="34"/>
        <v>34185.29</v>
      </c>
      <c r="N219" s="97">
        <f t="shared" si="34"/>
        <v>31053.64</v>
      </c>
      <c r="O219" s="97">
        <f t="shared" si="34"/>
        <v>35988.400000000001</v>
      </c>
      <c r="P219" s="97">
        <f t="shared" si="34"/>
        <v>32171.22</v>
      </c>
      <c r="Q219" s="97">
        <f t="shared" si="34"/>
        <v>25764.329999999998</v>
      </c>
      <c r="R219" s="97">
        <f t="shared" si="34"/>
        <v>28708.25</v>
      </c>
      <c r="S219" s="97">
        <f t="shared" si="34"/>
        <v>27617.73</v>
      </c>
      <c r="T219" s="97">
        <f t="shared" si="34"/>
        <v>22705.84</v>
      </c>
      <c r="U219" s="97">
        <f t="shared" si="34"/>
        <v>26126.909999999996</v>
      </c>
      <c r="V219" s="97">
        <f t="shared" si="34"/>
        <v>24463.55</v>
      </c>
      <c r="W219" s="97">
        <f t="shared" si="34"/>
        <v>19318.080000000002</v>
      </c>
      <c r="X219" s="97">
        <f t="shared" si="34"/>
        <v>14260.640000000001</v>
      </c>
      <c r="Y219" s="97">
        <f t="shared" si="34"/>
        <v>23509.289999999994</v>
      </c>
      <c r="Z219" s="97">
        <f t="shared" si="34"/>
        <v>19879.300000000003</v>
      </c>
      <c r="AA219" s="97">
        <f t="shared" si="34"/>
        <v>16648.7</v>
      </c>
      <c r="AB219" s="97">
        <f t="shared" si="34"/>
        <v>16417.390000000003</v>
      </c>
      <c r="AC219" s="97">
        <f t="shared" si="34"/>
        <v>16257.029999999999</v>
      </c>
      <c r="AD219" s="97">
        <f t="shared" si="34"/>
        <v>12721.119999999999</v>
      </c>
      <c r="AE219" s="97">
        <f t="shared" si="34"/>
        <v>10050.649999999998</v>
      </c>
      <c r="AF219" s="97">
        <f t="shared" si="34"/>
        <v>6291.0099999999993</v>
      </c>
      <c r="AG219" s="97">
        <f t="shared" si="34"/>
        <v>6831.8999999999987</v>
      </c>
      <c r="AH219" s="97">
        <f t="shared" si="34"/>
        <v>9443.91</v>
      </c>
      <c r="AI219" s="97">
        <f t="shared" si="34"/>
        <v>7090.66</v>
      </c>
      <c r="AJ219" s="97">
        <f t="shared" si="34"/>
        <v>7350.9800000000005</v>
      </c>
      <c r="AK219" s="97">
        <f t="shared" si="34"/>
        <v>5361.68</v>
      </c>
      <c r="AL219" s="97">
        <f t="shared" si="34"/>
        <v>0</v>
      </c>
      <c r="AM219" s="97">
        <f t="shared" si="34"/>
        <v>0</v>
      </c>
      <c r="AN219" s="98">
        <f t="shared" si="34"/>
        <v>865219.81445356738</v>
      </c>
      <c r="AO219" s="142" t="s">
        <v>12</v>
      </c>
      <c r="AP219" s="143" t="s">
        <v>13</v>
      </c>
    </row>
    <row r="220" spans="1:42" ht="15" x14ac:dyDescent="0.25">
      <c r="A220" s="260"/>
      <c r="B220" s="261" t="s">
        <v>328</v>
      </c>
      <c r="C220" s="97">
        <f t="shared" ref="C220:AN220" si="35">SUM(C155:C160)</f>
        <v>2106.11</v>
      </c>
      <c r="D220" s="97">
        <f t="shared" si="35"/>
        <v>1948.92</v>
      </c>
      <c r="E220" s="97">
        <f>SUM(E155:E160)</f>
        <v>2574.4699999999998</v>
      </c>
      <c r="F220" s="97">
        <f t="shared" si="35"/>
        <v>3051.34</v>
      </c>
      <c r="G220" s="97">
        <f t="shared" si="35"/>
        <v>3695.75</v>
      </c>
      <c r="H220" s="97">
        <f t="shared" si="35"/>
        <v>4801.8860000000004</v>
      </c>
      <c r="I220" s="97">
        <f t="shared" si="35"/>
        <v>4944.0820000000003</v>
      </c>
      <c r="J220" s="97">
        <f t="shared" si="35"/>
        <v>3925.13</v>
      </c>
      <c r="K220" s="97">
        <f t="shared" si="35"/>
        <v>4805.7000000000007</v>
      </c>
      <c r="L220" s="97">
        <f t="shared" si="35"/>
        <v>5478.0300000000007</v>
      </c>
      <c r="M220" s="97">
        <f t="shared" si="35"/>
        <v>4590.3900000000003</v>
      </c>
      <c r="N220" s="97">
        <f t="shared" si="35"/>
        <v>3776.51</v>
      </c>
      <c r="O220" s="97">
        <f t="shared" si="35"/>
        <v>4437.4799999999996</v>
      </c>
      <c r="P220" s="97">
        <f t="shared" si="35"/>
        <v>4680.3700000000008</v>
      </c>
      <c r="Q220" s="97">
        <f t="shared" si="35"/>
        <v>3710.26</v>
      </c>
      <c r="R220" s="97">
        <f t="shared" si="35"/>
        <v>4471.3100000000004</v>
      </c>
      <c r="S220" s="97">
        <f t="shared" si="35"/>
        <v>4518.1900000000005</v>
      </c>
      <c r="T220" s="97">
        <f t="shared" si="35"/>
        <v>3817.1000000000004</v>
      </c>
      <c r="U220" s="97">
        <f t="shared" si="35"/>
        <v>3534.41</v>
      </c>
      <c r="V220" s="97">
        <f t="shared" si="35"/>
        <v>3992.67</v>
      </c>
      <c r="W220" s="97">
        <f t="shared" si="35"/>
        <v>3272.42</v>
      </c>
      <c r="X220" s="97">
        <f t="shared" si="35"/>
        <v>2282.14</v>
      </c>
      <c r="Y220" s="97">
        <f t="shared" si="35"/>
        <v>3053.17</v>
      </c>
      <c r="Z220" s="97">
        <f t="shared" si="35"/>
        <v>2756.1899999999996</v>
      </c>
      <c r="AA220" s="97">
        <f t="shared" si="35"/>
        <v>2322.2799999999997</v>
      </c>
      <c r="AB220" s="97">
        <f t="shared" si="35"/>
        <v>1820.13</v>
      </c>
      <c r="AC220" s="97">
        <f t="shared" si="35"/>
        <v>1519.71</v>
      </c>
      <c r="AD220" s="97">
        <f t="shared" si="35"/>
        <v>1625.6999999999998</v>
      </c>
      <c r="AE220" s="97">
        <f t="shared" si="35"/>
        <v>443.65</v>
      </c>
      <c r="AF220" s="97">
        <f t="shared" si="35"/>
        <v>192.51</v>
      </c>
      <c r="AG220" s="97">
        <f t="shared" si="35"/>
        <v>65.88</v>
      </c>
      <c r="AH220" s="97">
        <f t="shared" si="35"/>
        <v>0</v>
      </c>
      <c r="AI220" s="97">
        <f t="shared" si="35"/>
        <v>0</v>
      </c>
      <c r="AJ220" s="97">
        <f t="shared" si="35"/>
        <v>0</v>
      </c>
      <c r="AK220" s="97">
        <f t="shared" si="35"/>
        <v>0</v>
      </c>
      <c r="AL220" s="97">
        <f t="shared" si="35"/>
        <v>0</v>
      </c>
      <c r="AM220" s="97">
        <f t="shared" si="35"/>
        <v>0</v>
      </c>
      <c r="AN220" s="98">
        <f t="shared" si="35"/>
        <v>98213.887999999992</v>
      </c>
      <c r="AO220" s="142" t="s">
        <v>260</v>
      </c>
      <c r="AP220" s="143" t="s">
        <v>13</v>
      </c>
    </row>
    <row r="221" spans="1:42" ht="15" x14ac:dyDescent="0.25">
      <c r="A221" s="260"/>
      <c r="B221" s="261" t="s">
        <v>329</v>
      </c>
      <c r="C221" s="97">
        <f t="shared" ref="C221:AN221" si="36">C174</f>
        <v>838.85</v>
      </c>
      <c r="D221" s="97">
        <f t="shared" si="36"/>
        <v>474.69</v>
      </c>
      <c r="E221" s="97">
        <f>E174</f>
        <v>609.99</v>
      </c>
      <c r="F221" s="97">
        <f t="shared" si="36"/>
        <v>352.59</v>
      </c>
      <c r="G221" s="97">
        <f t="shared" si="36"/>
        <v>763.98</v>
      </c>
      <c r="H221" s="97">
        <f t="shared" si="36"/>
        <v>871.30000000000007</v>
      </c>
      <c r="I221" s="97">
        <f t="shared" si="36"/>
        <v>1057.93</v>
      </c>
      <c r="J221" s="97">
        <f t="shared" si="36"/>
        <v>964.75</v>
      </c>
      <c r="K221" s="97">
        <f t="shared" si="36"/>
        <v>1561.09</v>
      </c>
      <c r="L221" s="97">
        <f t="shared" si="36"/>
        <v>1288.57</v>
      </c>
      <c r="M221" s="97">
        <f t="shared" si="36"/>
        <v>1593.44</v>
      </c>
      <c r="N221" s="97">
        <f t="shared" si="36"/>
        <v>253.13</v>
      </c>
      <c r="O221" s="97">
        <f t="shared" si="36"/>
        <v>65.27</v>
      </c>
      <c r="P221" s="97">
        <f t="shared" si="36"/>
        <v>19.27</v>
      </c>
      <c r="Q221" s="97">
        <f t="shared" si="36"/>
        <v>0</v>
      </c>
      <c r="R221" s="97">
        <f t="shared" si="36"/>
        <v>0</v>
      </c>
      <c r="S221" s="97">
        <f t="shared" si="36"/>
        <v>0</v>
      </c>
      <c r="T221" s="97">
        <f t="shared" si="36"/>
        <v>0</v>
      </c>
      <c r="U221" s="97">
        <f t="shared" si="36"/>
        <v>110.57</v>
      </c>
      <c r="V221" s="97">
        <f t="shared" si="36"/>
        <v>946.84</v>
      </c>
      <c r="W221" s="97">
        <f t="shared" si="36"/>
        <v>631.80999999999995</v>
      </c>
      <c r="X221" s="97">
        <f t="shared" si="36"/>
        <v>200.42</v>
      </c>
      <c r="Y221" s="97">
        <f t="shared" si="36"/>
        <v>17.3</v>
      </c>
      <c r="Z221" s="97" t="str">
        <f t="shared" si="36"/>
        <v>---</v>
      </c>
      <c r="AA221" s="97" t="str">
        <f t="shared" si="36"/>
        <v>---</v>
      </c>
      <c r="AB221" s="97" t="str">
        <f t="shared" si="36"/>
        <v>---</v>
      </c>
      <c r="AC221" s="97" t="str">
        <f t="shared" si="36"/>
        <v>---</v>
      </c>
      <c r="AD221" s="97" t="str">
        <f t="shared" si="36"/>
        <v>---</v>
      </c>
      <c r="AE221" s="97" t="str">
        <f t="shared" si="36"/>
        <v>---</v>
      </c>
      <c r="AF221" s="97" t="str">
        <f t="shared" si="36"/>
        <v>---</v>
      </c>
      <c r="AG221" s="97" t="str">
        <f t="shared" si="36"/>
        <v>---</v>
      </c>
      <c r="AH221" s="97" t="str">
        <f t="shared" si="36"/>
        <v>---</v>
      </c>
      <c r="AI221" s="97" t="str">
        <f t="shared" si="36"/>
        <v>---</v>
      </c>
      <c r="AJ221" s="97" t="str">
        <f t="shared" si="36"/>
        <v>---</v>
      </c>
      <c r="AK221" s="97" t="str">
        <f t="shared" si="36"/>
        <v>---</v>
      </c>
      <c r="AL221" s="97" t="str">
        <f t="shared" si="36"/>
        <v>---</v>
      </c>
      <c r="AM221" s="97" t="str">
        <f t="shared" si="36"/>
        <v>---</v>
      </c>
      <c r="AN221" s="98">
        <f t="shared" si="36"/>
        <v>12621.789999999999</v>
      </c>
      <c r="AO221" s="142" t="s">
        <v>274</v>
      </c>
      <c r="AP221" s="143" t="s">
        <v>13</v>
      </c>
    </row>
    <row r="222" spans="1:42" ht="15" x14ac:dyDescent="0.25">
      <c r="A222" s="262"/>
      <c r="B222" s="263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4"/>
      <c r="Y222" s="264"/>
      <c r="Z222" s="264"/>
      <c r="AA222" s="264"/>
      <c r="AB222" s="264"/>
      <c r="AC222" s="264"/>
      <c r="AD222" s="264"/>
      <c r="AE222" s="264"/>
      <c r="AF222" s="264"/>
      <c r="AG222" s="264"/>
      <c r="AH222" s="264"/>
      <c r="AI222" s="264"/>
      <c r="AJ222" s="264"/>
      <c r="AK222" s="264"/>
      <c r="AL222" s="264"/>
      <c r="AM222" s="264"/>
      <c r="AN222" s="265"/>
      <c r="AO222" s="266"/>
      <c r="AP222" s="267"/>
    </row>
    <row r="223" spans="1:42" ht="15" x14ac:dyDescent="0.25">
      <c r="A223" s="268"/>
      <c r="B223" s="181" t="s">
        <v>110</v>
      </c>
      <c r="C223" s="269">
        <f t="shared" ref="C223:AN223" si="37">SUM(C218:C221)</f>
        <v>42622.06</v>
      </c>
      <c r="D223" s="269">
        <f t="shared" si="37"/>
        <v>43457.767000000014</v>
      </c>
      <c r="E223" s="269">
        <f t="shared" si="37"/>
        <v>51144.439999999995</v>
      </c>
      <c r="F223" s="269">
        <f t="shared" si="37"/>
        <v>41274.889999999985</v>
      </c>
      <c r="G223" s="269">
        <f t="shared" si="37"/>
        <v>43742.78</v>
      </c>
      <c r="H223" s="269">
        <f t="shared" si="37"/>
        <v>57907.914081172326</v>
      </c>
      <c r="I223" s="269">
        <f t="shared" si="37"/>
        <v>65557.321372395265</v>
      </c>
      <c r="J223" s="269">
        <f t="shared" si="37"/>
        <v>52580.860000000008</v>
      </c>
      <c r="K223" s="269">
        <f t="shared" si="37"/>
        <v>51871.149999999994</v>
      </c>
      <c r="L223" s="269">
        <f t="shared" si="37"/>
        <v>52710.789999999994</v>
      </c>
      <c r="M223" s="269">
        <f t="shared" si="37"/>
        <v>47603.58</v>
      </c>
      <c r="N223" s="269">
        <f t="shared" si="37"/>
        <v>42191.86</v>
      </c>
      <c r="O223" s="269">
        <f t="shared" si="37"/>
        <v>49299.719999999994</v>
      </c>
      <c r="P223" s="269">
        <f t="shared" si="37"/>
        <v>44361.94</v>
      </c>
      <c r="Q223" s="269">
        <f t="shared" si="37"/>
        <v>36117.979999999996</v>
      </c>
      <c r="R223" s="269">
        <f t="shared" si="37"/>
        <v>39383.479999999996</v>
      </c>
      <c r="S223" s="269">
        <f t="shared" si="37"/>
        <v>39240.17</v>
      </c>
      <c r="T223" s="269">
        <f t="shared" si="37"/>
        <v>35344.57</v>
      </c>
      <c r="U223" s="269">
        <f t="shared" si="37"/>
        <v>39042.700000000004</v>
      </c>
      <c r="V223" s="269">
        <f t="shared" si="37"/>
        <v>36158.179999999993</v>
      </c>
      <c r="W223" s="269">
        <f t="shared" si="37"/>
        <v>27943.63</v>
      </c>
      <c r="X223" s="269">
        <f t="shared" si="37"/>
        <v>21162.799999999999</v>
      </c>
      <c r="Y223" s="269">
        <f t="shared" si="37"/>
        <v>30499.259999999991</v>
      </c>
      <c r="Z223" s="269">
        <f t="shared" si="37"/>
        <v>26242.99</v>
      </c>
      <c r="AA223" s="269">
        <f t="shared" si="37"/>
        <v>22181.649999999998</v>
      </c>
      <c r="AB223" s="269">
        <f t="shared" si="37"/>
        <v>20926.230000000003</v>
      </c>
      <c r="AC223" s="269">
        <f t="shared" si="37"/>
        <v>19690.699999999997</v>
      </c>
      <c r="AD223" s="269">
        <f t="shared" si="37"/>
        <v>16282.84</v>
      </c>
      <c r="AE223" s="269">
        <f t="shared" si="37"/>
        <v>13497.759999999997</v>
      </c>
      <c r="AF223" s="269">
        <f t="shared" si="37"/>
        <v>9288.7099999999991</v>
      </c>
      <c r="AG223" s="269">
        <f t="shared" si="37"/>
        <v>10296.679999999998</v>
      </c>
      <c r="AH223" s="269">
        <f t="shared" si="37"/>
        <v>13336.76</v>
      </c>
      <c r="AI223" s="269">
        <f t="shared" si="37"/>
        <v>9274.5299999999988</v>
      </c>
      <c r="AJ223" s="269">
        <f t="shared" si="37"/>
        <v>7523.96</v>
      </c>
      <c r="AK223" s="269">
        <f t="shared" si="37"/>
        <v>5361.68</v>
      </c>
      <c r="AL223" s="269">
        <f t="shared" si="37"/>
        <v>0</v>
      </c>
      <c r="AM223" s="269">
        <f t="shared" si="37"/>
        <v>0</v>
      </c>
      <c r="AN223" s="270">
        <f t="shared" si="37"/>
        <v>1165124.3324535675</v>
      </c>
      <c r="AO223" s="271"/>
      <c r="AP223" s="272"/>
    </row>
    <row r="224" spans="1:42" ht="15" x14ac:dyDescent="0.25">
      <c r="A224" s="268"/>
      <c r="B224" s="181"/>
      <c r="C224" s="269"/>
      <c r="D224" s="269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  <c r="AJ224" s="269"/>
      <c r="AK224" s="269"/>
      <c r="AL224" s="269"/>
      <c r="AM224" s="269"/>
      <c r="AN224" s="270"/>
      <c r="AO224" s="271"/>
      <c r="AP224" s="272"/>
    </row>
    <row r="225" spans="1:42" ht="15.75" thickBot="1" x14ac:dyDescent="0.3">
      <c r="A225" s="248" t="s">
        <v>330</v>
      </c>
      <c r="B225" s="273"/>
      <c r="C225" s="248"/>
      <c r="D225" s="248"/>
      <c r="E225" s="248"/>
      <c r="F225" s="248"/>
      <c r="G225" s="274"/>
      <c r="H225" s="274"/>
      <c r="I225" s="251"/>
      <c r="J225" s="251"/>
      <c r="K225" s="251"/>
      <c r="L225" s="251"/>
      <c r="M225" s="251"/>
      <c r="N225" s="251"/>
      <c r="O225" s="251"/>
      <c r="P225" s="251"/>
      <c r="Q225" s="251"/>
      <c r="R225" s="251"/>
      <c r="S225" s="251"/>
      <c r="T225" s="251"/>
      <c r="U225" s="251"/>
      <c r="V225" s="251"/>
      <c r="W225" s="251"/>
      <c r="X225" s="251"/>
      <c r="Y225" s="251"/>
      <c r="Z225" s="251"/>
      <c r="AA225" s="251"/>
      <c r="AB225" s="251"/>
      <c r="AC225" s="251"/>
      <c r="AD225" s="251"/>
      <c r="AE225" s="251"/>
      <c r="AF225" s="251"/>
      <c r="AG225" s="251"/>
      <c r="AH225" s="251"/>
      <c r="AI225" s="251"/>
      <c r="AJ225" s="251"/>
      <c r="AK225" s="251"/>
      <c r="AL225" s="251"/>
      <c r="AM225" s="251"/>
      <c r="AN225" s="253"/>
      <c r="AO225" s="254"/>
      <c r="AP225" s="255"/>
    </row>
    <row r="226" spans="1:42" ht="15.75" thickTop="1" x14ac:dyDescent="0.25">
      <c r="A226" s="275" t="s">
        <v>331</v>
      </c>
      <c r="B226" s="276" t="s">
        <v>4</v>
      </c>
      <c r="C226" s="275">
        <f t="shared" ref="C226:AL226" si="38">D226+1</f>
        <v>2012</v>
      </c>
      <c r="D226" s="275">
        <f t="shared" si="38"/>
        <v>2011</v>
      </c>
      <c r="E226" s="275">
        <f t="shared" si="38"/>
        <v>2010</v>
      </c>
      <c r="F226" s="275">
        <f t="shared" si="38"/>
        <v>2009</v>
      </c>
      <c r="G226" s="275">
        <f t="shared" si="38"/>
        <v>2008</v>
      </c>
      <c r="H226" s="275">
        <f t="shared" si="38"/>
        <v>2007</v>
      </c>
      <c r="I226" s="277">
        <f t="shared" si="38"/>
        <v>2006</v>
      </c>
      <c r="J226" s="277">
        <f t="shared" si="38"/>
        <v>2005</v>
      </c>
      <c r="K226" s="277">
        <f t="shared" si="38"/>
        <v>2004</v>
      </c>
      <c r="L226" s="277">
        <f t="shared" si="38"/>
        <v>2003</v>
      </c>
      <c r="M226" s="277">
        <f>N226+1</f>
        <v>2002</v>
      </c>
      <c r="N226" s="277">
        <f>O226+1</f>
        <v>2001</v>
      </c>
      <c r="O226" s="277">
        <f>P226+1</f>
        <v>2000</v>
      </c>
      <c r="P226" s="277">
        <f t="shared" si="38"/>
        <v>1999</v>
      </c>
      <c r="Q226" s="277">
        <f t="shared" si="38"/>
        <v>1998</v>
      </c>
      <c r="R226" s="277">
        <f t="shared" si="38"/>
        <v>1997</v>
      </c>
      <c r="S226" s="277">
        <f t="shared" si="38"/>
        <v>1996</v>
      </c>
      <c r="T226" s="277">
        <f t="shared" si="38"/>
        <v>1995</v>
      </c>
      <c r="U226" s="277">
        <f t="shared" si="38"/>
        <v>1994</v>
      </c>
      <c r="V226" s="277">
        <f t="shared" si="38"/>
        <v>1993</v>
      </c>
      <c r="W226" s="277">
        <f t="shared" si="38"/>
        <v>1992</v>
      </c>
      <c r="X226" s="277">
        <f t="shared" si="38"/>
        <v>1991</v>
      </c>
      <c r="Y226" s="277">
        <f t="shared" si="38"/>
        <v>1990</v>
      </c>
      <c r="Z226" s="277">
        <f t="shared" si="38"/>
        <v>1989</v>
      </c>
      <c r="AA226" s="277">
        <f t="shared" si="38"/>
        <v>1988</v>
      </c>
      <c r="AB226" s="277">
        <f t="shared" si="38"/>
        <v>1987</v>
      </c>
      <c r="AC226" s="277">
        <f t="shared" si="38"/>
        <v>1986</v>
      </c>
      <c r="AD226" s="277">
        <f t="shared" si="38"/>
        <v>1985</v>
      </c>
      <c r="AE226" s="277">
        <f t="shared" si="38"/>
        <v>1984</v>
      </c>
      <c r="AF226" s="277">
        <f t="shared" si="38"/>
        <v>1983</v>
      </c>
      <c r="AG226" s="277">
        <f t="shared" si="38"/>
        <v>1982</v>
      </c>
      <c r="AH226" s="277">
        <f t="shared" si="38"/>
        <v>1981</v>
      </c>
      <c r="AI226" s="277">
        <f t="shared" si="38"/>
        <v>1980</v>
      </c>
      <c r="AJ226" s="277">
        <f t="shared" si="38"/>
        <v>1979</v>
      </c>
      <c r="AK226" s="277">
        <f t="shared" si="38"/>
        <v>1978</v>
      </c>
      <c r="AL226" s="277">
        <f t="shared" si="38"/>
        <v>1977</v>
      </c>
      <c r="AM226" s="277">
        <v>1976</v>
      </c>
      <c r="AN226" s="278" t="s">
        <v>5</v>
      </c>
      <c r="AO226" s="279" t="s">
        <v>325</v>
      </c>
      <c r="AP226" s="280" t="s">
        <v>7</v>
      </c>
    </row>
    <row r="227" spans="1:42" ht="15" x14ac:dyDescent="0.25">
      <c r="A227" s="281" t="s">
        <v>12</v>
      </c>
      <c r="B227" s="282" t="s">
        <v>332</v>
      </c>
      <c r="C227" s="283">
        <f>SUM(C7:C23)+SUM(C39:C40)+C60+SUM(C91:C96)+SUM(C167:C168)+SUM(C190:C193)+C74+C42+SUM(C44:C58)+SUM(C66:C69)+SUM(C111:C149)+C197</f>
        <v>64873.67</v>
      </c>
      <c r="D227" s="283">
        <f>SUM(D8:D22)+SUM(D39:D40)+D60+SUM(D91:D96)+SUM(D167:D168)+SUM(D190:D193)+D74+D42+SUM(D44:D58)+SUM(D66:D69)+SUM(D111:D149)+D197</f>
        <v>54876.850000000006</v>
      </c>
      <c r="E227" s="283">
        <f>SUM(E8:E22)+SUM(E39:E40)+E60+SUM(E91:E96)+SUM(E167:E168)+SUM(E190:E195)+E74+E42+SUM(E44:E58)+SUM(E66:E69)+SUM(E111:E149)+E199</f>
        <v>47906.66</v>
      </c>
      <c r="F227" s="283">
        <f t="shared" ref="F227:AN227" si="39">SUM(F7:F22)+SUM(F39:F40)+F60+SUM(F91:F96)+SUM(F167:F168)+SUM(F190:F193)+F74+F42+SUM(F44:F58)+SUM(F66:F69)+SUM(F111:F149)+F197</f>
        <v>34729.159999999996</v>
      </c>
      <c r="G227" s="283">
        <f t="shared" si="39"/>
        <v>36544.299999999996</v>
      </c>
      <c r="H227" s="283" t="e">
        <f t="shared" si="39"/>
        <v>#VALUE!</v>
      </c>
      <c r="I227" s="283" t="e">
        <f t="shared" si="39"/>
        <v>#VALUE!</v>
      </c>
      <c r="J227" s="283" t="e">
        <f t="shared" si="39"/>
        <v>#VALUE!</v>
      </c>
      <c r="K227" s="283" t="e">
        <f t="shared" si="39"/>
        <v>#VALUE!</v>
      </c>
      <c r="L227" s="283" t="e">
        <f t="shared" si="39"/>
        <v>#VALUE!</v>
      </c>
      <c r="M227" s="283" t="e">
        <f t="shared" si="39"/>
        <v>#VALUE!</v>
      </c>
      <c r="N227" s="283" t="e">
        <f t="shared" si="39"/>
        <v>#VALUE!</v>
      </c>
      <c r="O227" s="283">
        <f t="shared" si="39"/>
        <v>61171.13</v>
      </c>
      <c r="P227" s="283" t="e">
        <f t="shared" si="39"/>
        <v>#VALUE!</v>
      </c>
      <c r="Q227" s="283" t="e">
        <f t="shared" si="39"/>
        <v>#VALUE!</v>
      </c>
      <c r="R227" s="283" t="e">
        <f t="shared" si="39"/>
        <v>#VALUE!</v>
      </c>
      <c r="S227" s="283" t="e">
        <f t="shared" si="39"/>
        <v>#VALUE!</v>
      </c>
      <c r="T227" s="283" t="e">
        <f t="shared" si="39"/>
        <v>#VALUE!</v>
      </c>
      <c r="U227" s="283" t="e">
        <f t="shared" si="39"/>
        <v>#VALUE!</v>
      </c>
      <c r="V227" s="283" t="e">
        <f t="shared" si="39"/>
        <v>#VALUE!</v>
      </c>
      <c r="W227" s="283" t="e">
        <f t="shared" si="39"/>
        <v>#VALUE!</v>
      </c>
      <c r="X227" s="283" t="e">
        <f t="shared" si="39"/>
        <v>#VALUE!</v>
      </c>
      <c r="Y227" s="283" t="e">
        <f t="shared" si="39"/>
        <v>#VALUE!</v>
      </c>
      <c r="Z227" s="283" t="e">
        <f t="shared" si="39"/>
        <v>#VALUE!</v>
      </c>
      <c r="AA227" s="283" t="e">
        <f t="shared" si="39"/>
        <v>#VALUE!</v>
      </c>
      <c r="AB227" s="283" t="e">
        <f t="shared" si="39"/>
        <v>#VALUE!</v>
      </c>
      <c r="AC227" s="283" t="e">
        <f t="shared" si="39"/>
        <v>#VALUE!</v>
      </c>
      <c r="AD227" s="283" t="e">
        <f t="shared" si="39"/>
        <v>#VALUE!</v>
      </c>
      <c r="AE227" s="283" t="e">
        <f t="shared" si="39"/>
        <v>#VALUE!</v>
      </c>
      <c r="AF227" s="283" t="e">
        <f t="shared" si="39"/>
        <v>#VALUE!</v>
      </c>
      <c r="AG227" s="283" t="e">
        <f t="shared" si="39"/>
        <v>#VALUE!</v>
      </c>
      <c r="AH227" s="283" t="e">
        <f t="shared" si="39"/>
        <v>#VALUE!</v>
      </c>
      <c r="AI227" s="283" t="e">
        <f t="shared" si="39"/>
        <v>#VALUE!</v>
      </c>
      <c r="AJ227" s="283" t="e">
        <f t="shared" si="39"/>
        <v>#VALUE!</v>
      </c>
      <c r="AK227" s="283" t="e">
        <f t="shared" si="39"/>
        <v>#VALUE!</v>
      </c>
      <c r="AL227" s="283" t="e">
        <f t="shared" si="39"/>
        <v>#VALUE!</v>
      </c>
      <c r="AM227" s="283" t="e">
        <f t="shared" si="39"/>
        <v>#VALUE!</v>
      </c>
      <c r="AN227" s="284">
        <f t="shared" si="39"/>
        <v>1344493.2865646787</v>
      </c>
      <c r="AO227" s="285" t="s">
        <v>12</v>
      </c>
      <c r="AP227" s="286" t="s">
        <v>333</v>
      </c>
    </row>
    <row r="228" spans="1:42" ht="15" x14ac:dyDescent="0.25">
      <c r="A228" s="281" t="s">
        <v>44</v>
      </c>
      <c r="B228" s="282" t="s">
        <v>334</v>
      </c>
      <c r="C228" s="283">
        <f>SUM(C24:C38)+SUM(C187:C189)+C41+C43+C59</f>
        <v>2153.02</v>
      </c>
      <c r="D228" s="283">
        <f t="shared" ref="D228:N228" si="40">SUM(D24:D38)+SUM(D187:D189)+D41+D43</f>
        <v>17759.95</v>
      </c>
      <c r="E228" s="283">
        <f t="shared" si="40"/>
        <v>1339.8</v>
      </c>
      <c r="F228" s="283">
        <f t="shared" si="40"/>
        <v>513.30000000000007</v>
      </c>
      <c r="G228" s="283">
        <f t="shared" si="40"/>
        <v>1722.7900000000002</v>
      </c>
      <c r="H228" s="283" t="e">
        <f t="shared" si="40"/>
        <v>#VALUE!</v>
      </c>
      <c r="I228" s="283" t="e">
        <f t="shared" si="40"/>
        <v>#VALUE!</v>
      </c>
      <c r="J228" s="283" t="e">
        <f t="shared" si="40"/>
        <v>#VALUE!</v>
      </c>
      <c r="K228" s="283" t="e">
        <f t="shared" si="40"/>
        <v>#VALUE!</v>
      </c>
      <c r="L228" s="283" t="e">
        <f t="shared" si="40"/>
        <v>#VALUE!</v>
      </c>
      <c r="M228" s="283" t="e">
        <f t="shared" si="40"/>
        <v>#VALUE!</v>
      </c>
      <c r="N228" s="283">
        <f t="shared" si="40"/>
        <v>6019.38</v>
      </c>
      <c r="O228" s="283">
        <f>SUM(O24:O35)+SUM(O187:O189)+O38+O40</f>
        <v>5276.35</v>
      </c>
      <c r="P228" s="283" t="e">
        <f t="shared" ref="P228:AN228" si="41">SUM(P24:P38)+SUM(P187:P189)+P41+P43</f>
        <v>#VALUE!</v>
      </c>
      <c r="Q228" s="283" t="e">
        <f t="shared" si="41"/>
        <v>#VALUE!</v>
      </c>
      <c r="R228" s="283" t="e">
        <f t="shared" si="41"/>
        <v>#VALUE!</v>
      </c>
      <c r="S228" s="283" t="e">
        <f t="shared" si="41"/>
        <v>#VALUE!</v>
      </c>
      <c r="T228" s="283" t="e">
        <f t="shared" si="41"/>
        <v>#VALUE!</v>
      </c>
      <c r="U228" s="283" t="e">
        <f t="shared" si="41"/>
        <v>#VALUE!</v>
      </c>
      <c r="V228" s="283" t="e">
        <f t="shared" si="41"/>
        <v>#VALUE!</v>
      </c>
      <c r="W228" s="283" t="e">
        <f t="shared" si="41"/>
        <v>#VALUE!</v>
      </c>
      <c r="X228" s="283" t="e">
        <f t="shared" si="41"/>
        <v>#VALUE!</v>
      </c>
      <c r="Y228" s="283" t="e">
        <f t="shared" si="41"/>
        <v>#VALUE!</v>
      </c>
      <c r="Z228" s="283" t="e">
        <f t="shared" si="41"/>
        <v>#VALUE!</v>
      </c>
      <c r="AA228" s="283" t="e">
        <f t="shared" si="41"/>
        <v>#VALUE!</v>
      </c>
      <c r="AB228" s="283" t="e">
        <f t="shared" si="41"/>
        <v>#VALUE!</v>
      </c>
      <c r="AC228" s="283" t="e">
        <f t="shared" si="41"/>
        <v>#VALUE!</v>
      </c>
      <c r="AD228" s="283" t="e">
        <f t="shared" si="41"/>
        <v>#VALUE!</v>
      </c>
      <c r="AE228" s="283" t="e">
        <f t="shared" si="41"/>
        <v>#VALUE!</v>
      </c>
      <c r="AF228" s="283" t="e">
        <f t="shared" si="41"/>
        <v>#VALUE!</v>
      </c>
      <c r="AG228" s="283" t="e">
        <f t="shared" si="41"/>
        <v>#VALUE!</v>
      </c>
      <c r="AH228" s="283" t="e">
        <f t="shared" si="41"/>
        <v>#VALUE!</v>
      </c>
      <c r="AI228" s="283" t="e">
        <f t="shared" si="41"/>
        <v>#VALUE!</v>
      </c>
      <c r="AJ228" s="283" t="e">
        <f t="shared" si="41"/>
        <v>#VALUE!</v>
      </c>
      <c r="AK228" s="283" t="e">
        <f t="shared" si="41"/>
        <v>#VALUE!</v>
      </c>
      <c r="AL228" s="283" t="e">
        <f t="shared" si="41"/>
        <v>#VALUE!</v>
      </c>
      <c r="AM228" s="283" t="e">
        <f t="shared" si="41"/>
        <v>#VALUE!</v>
      </c>
      <c r="AN228" s="284">
        <f t="shared" si="41"/>
        <v>190510.16200000001</v>
      </c>
      <c r="AO228" s="285" t="s">
        <v>44</v>
      </c>
      <c r="AP228" s="286" t="s">
        <v>333</v>
      </c>
    </row>
    <row r="229" spans="1:42" ht="15" x14ac:dyDescent="0.25">
      <c r="A229" s="281" t="s">
        <v>285</v>
      </c>
      <c r="B229" s="282" t="s">
        <v>335</v>
      </c>
      <c r="C229" s="283">
        <f>SUM(C180:C186)</f>
        <v>2994.3</v>
      </c>
      <c r="D229" s="283">
        <f>SUM(D180:D186)</f>
        <v>8582</v>
      </c>
      <c r="E229" s="283">
        <f>SUM(E180:E186)</f>
        <v>0</v>
      </c>
      <c r="F229" s="283">
        <f t="shared" ref="F229:AN229" si="42">SUM(F180:F186)</f>
        <v>0</v>
      </c>
      <c r="G229" s="283">
        <f t="shared" si="42"/>
        <v>0</v>
      </c>
      <c r="H229" s="283">
        <f t="shared" si="42"/>
        <v>4638</v>
      </c>
      <c r="I229" s="283">
        <f t="shared" si="42"/>
        <v>2062.3200000000002</v>
      </c>
      <c r="J229" s="283">
        <f t="shared" si="42"/>
        <v>0</v>
      </c>
      <c r="K229" s="283">
        <f t="shared" si="42"/>
        <v>0</v>
      </c>
      <c r="L229" s="283">
        <f t="shared" si="42"/>
        <v>0</v>
      </c>
      <c r="M229" s="283">
        <f t="shared" si="42"/>
        <v>141.78</v>
      </c>
      <c r="N229" s="283">
        <f t="shared" si="42"/>
        <v>239.34</v>
      </c>
      <c r="O229" s="283">
        <f t="shared" si="42"/>
        <v>0</v>
      </c>
      <c r="P229" s="283">
        <f t="shared" si="42"/>
        <v>0</v>
      </c>
      <c r="Q229" s="283">
        <f t="shared" si="42"/>
        <v>1537.99</v>
      </c>
      <c r="R229" s="283">
        <f t="shared" si="42"/>
        <v>0</v>
      </c>
      <c r="S229" s="283">
        <f t="shared" si="42"/>
        <v>0</v>
      </c>
      <c r="T229" s="283">
        <f t="shared" si="42"/>
        <v>0</v>
      </c>
      <c r="U229" s="283">
        <f t="shared" si="42"/>
        <v>0</v>
      </c>
      <c r="V229" s="283">
        <f t="shared" si="42"/>
        <v>0</v>
      </c>
      <c r="W229" s="283">
        <f t="shared" si="42"/>
        <v>-558.73</v>
      </c>
      <c r="X229" s="283">
        <f t="shared" si="42"/>
        <v>-9728.6699999999983</v>
      </c>
      <c r="Y229" s="283">
        <f t="shared" si="42"/>
        <v>0</v>
      </c>
      <c r="Z229" s="283">
        <f t="shared" si="42"/>
        <v>0</v>
      </c>
      <c r="AA229" s="283">
        <f t="shared" si="42"/>
        <v>0</v>
      </c>
      <c r="AB229" s="283">
        <f t="shared" si="42"/>
        <v>0</v>
      </c>
      <c r="AC229" s="283">
        <f t="shared" si="42"/>
        <v>6</v>
      </c>
      <c r="AD229" s="283">
        <f t="shared" si="42"/>
        <v>8</v>
      </c>
      <c r="AE229" s="283">
        <f t="shared" si="42"/>
        <v>93</v>
      </c>
      <c r="AF229" s="283">
        <f t="shared" si="42"/>
        <v>62.89</v>
      </c>
      <c r="AG229" s="283">
        <f t="shared" si="42"/>
        <v>6456</v>
      </c>
      <c r="AH229" s="283">
        <f t="shared" si="42"/>
        <v>18215</v>
      </c>
      <c r="AI229" s="283">
        <f t="shared" si="42"/>
        <v>17842</v>
      </c>
      <c r="AJ229" s="283">
        <f t="shared" si="42"/>
        <v>13334.039999999999</v>
      </c>
      <c r="AK229" s="283">
        <f t="shared" si="42"/>
        <v>11771.2</v>
      </c>
      <c r="AL229" s="283">
        <f t="shared" si="42"/>
        <v>16661</v>
      </c>
      <c r="AM229" s="283">
        <f t="shared" si="42"/>
        <v>22203</v>
      </c>
      <c r="AN229" s="284">
        <f t="shared" si="42"/>
        <v>116560.45999999999</v>
      </c>
      <c r="AO229" s="285" t="s">
        <v>285</v>
      </c>
      <c r="AP229" s="286" t="s">
        <v>333</v>
      </c>
    </row>
    <row r="230" spans="1:42" ht="15" x14ac:dyDescent="0.25">
      <c r="A230" s="281" t="s">
        <v>264</v>
      </c>
      <c r="B230" s="287" t="s">
        <v>336</v>
      </c>
      <c r="C230" s="283">
        <f>SUM(C157:C160)</f>
        <v>1584.1100000000001</v>
      </c>
      <c r="D230" s="283">
        <f>SUM(D157:D160)</f>
        <v>1515.03</v>
      </c>
      <c r="E230" s="283">
        <f>SUM(E157:E160)</f>
        <v>1814.4899999999998</v>
      </c>
      <c r="F230" s="283">
        <f t="shared" ref="F230:AN230" si="43">SUM(F157:F160)</f>
        <v>2039.7</v>
      </c>
      <c r="G230" s="283">
        <f t="shared" si="43"/>
        <v>2799.5599999999995</v>
      </c>
      <c r="H230" s="283">
        <f t="shared" si="43"/>
        <v>3575.1860000000001</v>
      </c>
      <c r="I230" s="283">
        <f t="shared" si="43"/>
        <v>3507.0619999999999</v>
      </c>
      <c r="J230" s="283">
        <f t="shared" si="43"/>
        <v>2994.6800000000003</v>
      </c>
      <c r="K230" s="283">
        <f t="shared" si="43"/>
        <v>3458.55</v>
      </c>
      <c r="L230" s="283">
        <f t="shared" si="43"/>
        <v>4248.07</v>
      </c>
      <c r="M230" s="283">
        <f t="shared" si="43"/>
        <v>3380.0200000000004</v>
      </c>
      <c r="N230" s="283">
        <f t="shared" si="43"/>
        <v>2928.87</v>
      </c>
      <c r="O230" s="283">
        <f t="shared" si="43"/>
        <v>3503.65</v>
      </c>
      <c r="P230" s="283">
        <f t="shared" si="43"/>
        <v>3944.19</v>
      </c>
      <c r="Q230" s="283">
        <f t="shared" si="43"/>
        <v>3121.9700000000003</v>
      </c>
      <c r="R230" s="283">
        <f t="shared" si="43"/>
        <v>3944.9</v>
      </c>
      <c r="S230" s="283">
        <f t="shared" si="43"/>
        <v>3906.9199999999996</v>
      </c>
      <c r="T230" s="283">
        <f t="shared" si="43"/>
        <v>3322.13</v>
      </c>
      <c r="U230" s="283">
        <f t="shared" si="43"/>
        <v>2955.17</v>
      </c>
      <c r="V230" s="283">
        <f t="shared" si="43"/>
        <v>3479.49</v>
      </c>
      <c r="W230" s="283">
        <f t="shared" si="43"/>
        <v>3053.8199999999997</v>
      </c>
      <c r="X230" s="283">
        <f t="shared" si="43"/>
        <v>2095.88</v>
      </c>
      <c r="Y230" s="283">
        <f t="shared" si="43"/>
        <v>2565.62</v>
      </c>
      <c r="Z230" s="283">
        <f t="shared" si="43"/>
        <v>2369.9199999999996</v>
      </c>
      <c r="AA230" s="283">
        <f t="shared" si="43"/>
        <v>1962.53</v>
      </c>
      <c r="AB230" s="283">
        <f t="shared" si="43"/>
        <v>1588.44</v>
      </c>
      <c r="AC230" s="283">
        <f t="shared" si="43"/>
        <v>1329.1100000000001</v>
      </c>
      <c r="AD230" s="283">
        <f t="shared" si="43"/>
        <v>1580.33</v>
      </c>
      <c r="AE230" s="283">
        <f t="shared" si="43"/>
        <v>443.65</v>
      </c>
      <c r="AF230" s="283">
        <f t="shared" si="43"/>
        <v>192.51</v>
      </c>
      <c r="AG230" s="283">
        <f t="shared" si="43"/>
        <v>65.88</v>
      </c>
      <c r="AH230" s="283">
        <f t="shared" si="43"/>
        <v>0</v>
      </c>
      <c r="AI230" s="283">
        <f t="shared" si="43"/>
        <v>0</v>
      </c>
      <c r="AJ230" s="283">
        <f t="shared" si="43"/>
        <v>0</v>
      </c>
      <c r="AK230" s="283">
        <f t="shared" si="43"/>
        <v>0</v>
      </c>
      <c r="AL230" s="283">
        <f t="shared" si="43"/>
        <v>0</v>
      </c>
      <c r="AM230" s="283">
        <f t="shared" si="43"/>
        <v>0</v>
      </c>
      <c r="AN230" s="284">
        <f t="shared" si="43"/>
        <v>79271.437999999995</v>
      </c>
      <c r="AO230" s="285" t="s">
        <v>264</v>
      </c>
      <c r="AP230" s="286" t="s">
        <v>13</v>
      </c>
    </row>
    <row r="231" spans="1:42" ht="15" x14ac:dyDescent="0.25">
      <c r="A231" s="281" t="s">
        <v>337</v>
      </c>
      <c r="B231" s="287" t="s">
        <v>338</v>
      </c>
      <c r="C231" s="288" t="s">
        <v>11</v>
      </c>
      <c r="D231" s="288" t="s">
        <v>11</v>
      </c>
      <c r="E231" s="288" t="s">
        <v>11</v>
      </c>
      <c r="F231" s="288" t="s">
        <v>11</v>
      </c>
      <c r="G231" s="288" t="s">
        <v>11</v>
      </c>
      <c r="H231" s="288" t="s">
        <v>11</v>
      </c>
      <c r="I231" s="288" t="s">
        <v>11</v>
      </c>
      <c r="J231" s="288" t="s">
        <v>11</v>
      </c>
      <c r="K231" s="288" t="s">
        <v>11</v>
      </c>
      <c r="L231" s="288" t="s">
        <v>11</v>
      </c>
      <c r="M231" s="288" t="s">
        <v>11</v>
      </c>
      <c r="N231" s="288" t="s">
        <v>11</v>
      </c>
      <c r="O231" s="288" t="s">
        <v>11</v>
      </c>
      <c r="P231" s="288" t="s">
        <v>11</v>
      </c>
      <c r="Q231" s="288" t="s">
        <v>11</v>
      </c>
      <c r="R231" s="288" t="s">
        <v>11</v>
      </c>
      <c r="S231" s="288" t="s">
        <v>11</v>
      </c>
      <c r="T231" s="288" t="s">
        <v>11</v>
      </c>
      <c r="U231" s="288" t="s">
        <v>11</v>
      </c>
      <c r="V231" s="288" t="s">
        <v>11</v>
      </c>
      <c r="W231" s="288" t="s">
        <v>11</v>
      </c>
      <c r="X231" s="288" t="s">
        <v>11</v>
      </c>
      <c r="Y231" s="288" t="s">
        <v>11</v>
      </c>
      <c r="Z231" s="288" t="s">
        <v>11</v>
      </c>
      <c r="AA231" s="288" t="s">
        <v>11</v>
      </c>
      <c r="AB231" s="288" t="s">
        <v>11</v>
      </c>
      <c r="AC231" s="288" t="s">
        <v>11</v>
      </c>
      <c r="AD231" s="288" t="s">
        <v>11</v>
      </c>
      <c r="AE231" s="288" t="s">
        <v>11</v>
      </c>
      <c r="AF231" s="288" t="s">
        <v>11</v>
      </c>
      <c r="AG231" s="288" t="s">
        <v>11</v>
      </c>
      <c r="AH231" s="288" t="s">
        <v>11</v>
      </c>
      <c r="AI231" s="288" t="s">
        <v>11</v>
      </c>
      <c r="AJ231" s="288" t="s">
        <v>11</v>
      </c>
      <c r="AK231" s="288" t="s">
        <v>11</v>
      </c>
      <c r="AL231" s="288" t="s">
        <v>11</v>
      </c>
      <c r="AM231" s="288" t="s">
        <v>11</v>
      </c>
      <c r="AN231" s="289" t="s">
        <v>11</v>
      </c>
      <c r="AO231" s="285" t="s">
        <v>337</v>
      </c>
      <c r="AP231" s="286" t="s">
        <v>333</v>
      </c>
    </row>
    <row r="232" spans="1:42" ht="15" x14ac:dyDescent="0.25">
      <c r="A232" s="290" t="s">
        <v>130</v>
      </c>
      <c r="B232" s="291" t="s">
        <v>339</v>
      </c>
      <c r="C232" s="245">
        <f>SUM(C75:C77)+SUM(C79:C80)</f>
        <v>1989.18</v>
      </c>
      <c r="D232" s="245">
        <f>SUM(D75:D77)+SUM(D79:D80)</f>
        <v>2332.9500000000003</v>
      </c>
      <c r="E232" s="245">
        <f>SUM(E75:E77)+SUM(E79:E80)</f>
        <v>1725.69</v>
      </c>
      <c r="F232" s="245">
        <f t="shared" ref="F232:AN232" si="44">SUM(F75:F77)+SUM(F79:F80)</f>
        <v>1599.75</v>
      </c>
      <c r="G232" s="245">
        <f t="shared" si="44"/>
        <v>1984.8600000000001</v>
      </c>
      <c r="H232" s="245">
        <f t="shared" si="44"/>
        <v>2681.1099999999997</v>
      </c>
      <c r="I232" s="245">
        <f t="shared" si="44"/>
        <v>2538.6099999999997</v>
      </c>
      <c r="J232" s="245">
        <f t="shared" si="44"/>
        <v>2109.5300000000002</v>
      </c>
      <c r="K232" s="245">
        <f t="shared" si="44"/>
        <v>2362.3700000000003</v>
      </c>
      <c r="L232" s="245">
        <f t="shared" si="44"/>
        <v>1960.59</v>
      </c>
      <c r="M232" s="245">
        <f t="shared" si="44"/>
        <v>1951.33</v>
      </c>
      <c r="N232" s="245">
        <f t="shared" si="44"/>
        <v>1719.56</v>
      </c>
      <c r="O232" s="245">
        <f t="shared" si="44"/>
        <v>2324.38</v>
      </c>
      <c r="P232" s="245">
        <f t="shared" si="44"/>
        <v>1998.85</v>
      </c>
      <c r="Q232" s="245">
        <f t="shared" si="44"/>
        <v>1759.32</v>
      </c>
      <c r="R232" s="245">
        <f t="shared" si="44"/>
        <v>2161.21</v>
      </c>
      <c r="S232" s="245">
        <f t="shared" si="44"/>
        <v>1878.09</v>
      </c>
      <c r="T232" s="245">
        <f t="shared" si="44"/>
        <v>3746.1499999999996</v>
      </c>
      <c r="U232" s="245">
        <f t="shared" si="44"/>
        <v>2875.54</v>
      </c>
      <c r="V232" s="245">
        <f t="shared" si="44"/>
        <v>1618.1200000000001</v>
      </c>
      <c r="W232" s="245">
        <f t="shared" si="44"/>
        <v>1437.63</v>
      </c>
      <c r="X232" s="245">
        <f t="shared" si="44"/>
        <v>1633.4299999999998</v>
      </c>
      <c r="Y232" s="245">
        <f t="shared" si="44"/>
        <v>1276.1600000000001</v>
      </c>
      <c r="Z232" s="245">
        <f t="shared" si="44"/>
        <v>1311.7800000000002</v>
      </c>
      <c r="AA232" s="245">
        <f t="shared" si="44"/>
        <v>1163.6299999999999</v>
      </c>
      <c r="AB232" s="245">
        <f t="shared" si="44"/>
        <v>1153.81</v>
      </c>
      <c r="AC232" s="245">
        <f t="shared" si="44"/>
        <v>1082.0200000000002</v>
      </c>
      <c r="AD232" s="245">
        <f t="shared" si="44"/>
        <v>1101.1299999999999</v>
      </c>
      <c r="AE232" s="245">
        <f t="shared" si="44"/>
        <v>1460.79</v>
      </c>
      <c r="AF232" s="245">
        <f t="shared" si="44"/>
        <v>1229.45</v>
      </c>
      <c r="AG232" s="245">
        <f t="shared" si="44"/>
        <v>1383</v>
      </c>
      <c r="AH232" s="245">
        <f t="shared" si="44"/>
        <v>1677.4799999999998</v>
      </c>
      <c r="AI232" s="245">
        <f t="shared" si="44"/>
        <v>1051.46</v>
      </c>
      <c r="AJ232" s="245">
        <f t="shared" si="44"/>
        <v>0</v>
      </c>
      <c r="AK232" s="245">
        <f t="shared" si="44"/>
        <v>0</v>
      </c>
      <c r="AL232" s="245">
        <f t="shared" si="44"/>
        <v>0</v>
      </c>
      <c r="AM232" s="245">
        <f t="shared" si="44"/>
        <v>0</v>
      </c>
      <c r="AN232" s="292">
        <f t="shared" si="44"/>
        <v>60278.959999999992</v>
      </c>
      <c r="AO232" s="79" t="s">
        <v>130</v>
      </c>
      <c r="AP232" s="80" t="s">
        <v>45</v>
      </c>
    </row>
    <row r="233" spans="1:42" ht="15" x14ac:dyDescent="0.25">
      <c r="A233" s="290" t="s">
        <v>148</v>
      </c>
      <c r="B233" s="291" t="s">
        <v>340</v>
      </c>
      <c r="C233" s="245">
        <f>+C84</f>
        <v>1207.82</v>
      </c>
      <c r="D233" s="245">
        <f>+D84</f>
        <v>1482.85</v>
      </c>
      <c r="E233" s="245">
        <f>+E84</f>
        <v>1044.5</v>
      </c>
      <c r="F233" s="245">
        <f t="shared" ref="F233:AN233" si="45">+F84</f>
        <v>681.18000000000006</v>
      </c>
      <c r="G233" s="245">
        <f t="shared" si="45"/>
        <v>772.00000000000011</v>
      </c>
      <c r="H233" s="245">
        <f t="shared" si="45"/>
        <v>1456.8900000000003</v>
      </c>
      <c r="I233" s="245">
        <f t="shared" si="45"/>
        <v>1070.94</v>
      </c>
      <c r="J233" s="245">
        <f t="shared" si="45"/>
        <v>637.11</v>
      </c>
      <c r="K233" s="245">
        <f t="shared" si="45"/>
        <v>801.43</v>
      </c>
      <c r="L233" s="245">
        <f t="shared" si="45"/>
        <v>479.19</v>
      </c>
      <c r="M233" s="245">
        <f t="shared" si="45"/>
        <v>417.95</v>
      </c>
      <c r="N233" s="245">
        <f t="shared" si="45"/>
        <v>317.05</v>
      </c>
      <c r="O233" s="245">
        <f t="shared" si="45"/>
        <v>331.43</v>
      </c>
      <c r="P233" s="245">
        <f t="shared" si="45"/>
        <v>163.06</v>
      </c>
      <c r="Q233" s="245">
        <f t="shared" si="45"/>
        <v>342.28</v>
      </c>
      <c r="R233" s="245">
        <f t="shared" si="45"/>
        <v>134.19999999999999</v>
      </c>
      <c r="S233" s="245">
        <f t="shared" si="45"/>
        <v>1213.46</v>
      </c>
      <c r="T233" s="245">
        <f t="shared" si="45"/>
        <v>843.84</v>
      </c>
      <c r="U233" s="245">
        <f t="shared" si="45"/>
        <v>979.79</v>
      </c>
      <c r="V233" s="245">
        <f t="shared" si="45"/>
        <v>835.25</v>
      </c>
      <c r="W233" s="245">
        <f t="shared" si="45"/>
        <v>602.63</v>
      </c>
      <c r="X233" s="245">
        <f t="shared" si="45"/>
        <v>380.73</v>
      </c>
      <c r="Y233" s="245">
        <f t="shared" si="45"/>
        <v>177.53</v>
      </c>
      <c r="Z233" s="245">
        <f t="shared" si="45"/>
        <v>190.37</v>
      </c>
      <c r="AA233" s="245">
        <f t="shared" si="45"/>
        <v>157.35</v>
      </c>
      <c r="AB233" s="245">
        <f t="shared" si="45"/>
        <v>75.069999999999993</v>
      </c>
      <c r="AC233" s="245">
        <f t="shared" si="45"/>
        <v>52.06</v>
      </c>
      <c r="AD233" s="245">
        <f t="shared" si="45"/>
        <v>258.98</v>
      </c>
      <c r="AE233" s="245">
        <f t="shared" si="45"/>
        <v>898.16</v>
      </c>
      <c r="AF233" s="245">
        <f t="shared" si="45"/>
        <v>897.22</v>
      </c>
      <c r="AG233" s="245">
        <f t="shared" si="45"/>
        <v>1645.13</v>
      </c>
      <c r="AH233" s="245">
        <f t="shared" si="45"/>
        <v>1886.52</v>
      </c>
      <c r="AI233" s="245">
        <f t="shared" si="45"/>
        <v>990.4</v>
      </c>
      <c r="AJ233" s="245" t="str">
        <f t="shared" si="45"/>
        <v>---</v>
      </c>
      <c r="AK233" s="245" t="str">
        <f t="shared" si="45"/>
        <v>---</v>
      </c>
      <c r="AL233" s="245" t="str">
        <f t="shared" si="45"/>
        <v>---</v>
      </c>
      <c r="AM233" s="245" t="str">
        <f t="shared" si="45"/>
        <v>---</v>
      </c>
      <c r="AN233" s="292">
        <f t="shared" si="45"/>
        <v>23424.370000000006</v>
      </c>
      <c r="AO233" s="79" t="s">
        <v>148</v>
      </c>
      <c r="AP233" s="80" t="s">
        <v>45</v>
      </c>
    </row>
    <row r="234" spans="1:42" ht="15" x14ac:dyDescent="0.25">
      <c r="A234" s="290" t="s">
        <v>136</v>
      </c>
      <c r="B234" s="291" t="s">
        <v>341</v>
      </c>
      <c r="C234" s="245">
        <f>+C78</f>
        <v>1288.4100000000001</v>
      </c>
      <c r="D234" s="245">
        <f>+D78</f>
        <v>1283.24</v>
      </c>
      <c r="E234" s="245">
        <f>+E78</f>
        <v>1269.1199999999999</v>
      </c>
      <c r="F234" s="245">
        <f t="shared" ref="F234:AN234" si="46">+F78</f>
        <v>1337.26</v>
      </c>
      <c r="G234" s="245">
        <f t="shared" si="46"/>
        <v>1231.3799999999997</v>
      </c>
      <c r="H234" s="245">
        <f t="shared" si="46"/>
        <v>1175.0400000000002</v>
      </c>
      <c r="I234" s="245">
        <f t="shared" si="46"/>
        <v>1019.49</v>
      </c>
      <c r="J234" s="245">
        <f t="shared" si="46"/>
        <v>1051.8699999999999</v>
      </c>
      <c r="K234" s="245">
        <f t="shared" si="46"/>
        <v>1251.1400000000001</v>
      </c>
      <c r="L234" s="245">
        <f t="shared" si="46"/>
        <v>1283.28</v>
      </c>
      <c r="M234" s="245">
        <f t="shared" si="46"/>
        <v>1369.53</v>
      </c>
      <c r="N234" s="245">
        <f t="shared" si="46"/>
        <v>1384.62</v>
      </c>
      <c r="O234" s="245">
        <f t="shared" si="46"/>
        <v>1361.21</v>
      </c>
      <c r="P234" s="245">
        <f t="shared" si="46"/>
        <v>1438.22</v>
      </c>
      <c r="Q234" s="245">
        <f t="shared" si="46"/>
        <v>1345.07</v>
      </c>
      <c r="R234" s="245">
        <f t="shared" si="46"/>
        <v>1335.68</v>
      </c>
      <c r="S234" s="245">
        <f t="shared" si="46"/>
        <v>1316.24</v>
      </c>
      <c r="T234" s="245">
        <f t="shared" si="46"/>
        <v>1226.9100000000001</v>
      </c>
      <c r="U234" s="245">
        <f t="shared" si="46"/>
        <v>1399.27</v>
      </c>
      <c r="V234" s="245">
        <f t="shared" si="46"/>
        <v>1516.67</v>
      </c>
      <c r="W234" s="245">
        <f t="shared" si="46"/>
        <v>1309.94</v>
      </c>
      <c r="X234" s="245">
        <f t="shared" si="46"/>
        <v>1389.71</v>
      </c>
      <c r="Y234" s="245">
        <f t="shared" si="46"/>
        <v>1630.31</v>
      </c>
      <c r="Z234" s="245">
        <f t="shared" si="46"/>
        <v>1467.44</v>
      </c>
      <c r="AA234" s="245">
        <f t="shared" si="46"/>
        <v>1245.8900000000001</v>
      </c>
      <c r="AB234" s="245">
        <f t="shared" si="46"/>
        <v>663.5</v>
      </c>
      <c r="AC234" s="245">
        <f t="shared" si="46"/>
        <v>24.31</v>
      </c>
      <c r="AD234" s="245" t="str">
        <f t="shared" si="46"/>
        <v>---</v>
      </c>
      <c r="AE234" s="245" t="str">
        <f t="shared" si="46"/>
        <v>---</v>
      </c>
      <c r="AF234" s="245" t="str">
        <f t="shared" si="46"/>
        <v>---</v>
      </c>
      <c r="AG234" s="245" t="str">
        <f t="shared" si="46"/>
        <v>---</v>
      </c>
      <c r="AH234" s="245" t="str">
        <f t="shared" si="46"/>
        <v>---</v>
      </c>
      <c r="AI234" s="245" t="str">
        <f t="shared" si="46"/>
        <v>---</v>
      </c>
      <c r="AJ234" s="245" t="str">
        <f t="shared" si="46"/>
        <v>---</v>
      </c>
      <c r="AK234" s="245" t="str">
        <f t="shared" si="46"/>
        <v>---</v>
      </c>
      <c r="AL234" s="245" t="str">
        <f t="shared" si="46"/>
        <v>---</v>
      </c>
      <c r="AM234" s="245" t="str">
        <f t="shared" si="46"/>
        <v>---</v>
      </c>
      <c r="AN234" s="292">
        <f t="shared" si="46"/>
        <v>33614.75</v>
      </c>
      <c r="AO234" s="79" t="s">
        <v>136</v>
      </c>
      <c r="AP234" s="80" t="s">
        <v>342</v>
      </c>
    </row>
    <row r="235" spans="1:42" ht="15" x14ac:dyDescent="0.25">
      <c r="A235" s="290" t="s">
        <v>274</v>
      </c>
      <c r="B235" s="291" t="s">
        <v>343</v>
      </c>
      <c r="C235" s="245">
        <f>+C166+C174</f>
        <v>1105.26</v>
      </c>
      <c r="D235" s="245">
        <f>+D166+D174</f>
        <v>728.48</v>
      </c>
      <c r="E235" s="245">
        <f>+E166+E174</f>
        <v>1072.8400000000001</v>
      </c>
      <c r="F235" s="245">
        <f t="shared" ref="F235:AN235" si="47">+F166+F174</f>
        <v>915.65999999999985</v>
      </c>
      <c r="G235" s="245">
        <f t="shared" si="47"/>
        <v>1341.6799999999998</v>
      </c>
      <c r="H235" s="245">
        <f t="shared" si="47"/>
        <v>1672.04</v>
      </c>
      <c r="I235" s="245">
        <f t="shared" si="47"/>
        <v>1445.33</v>
      </c>
      <c r="J235" s="245">
        <f t="shared" si="47"/>
        <v>1767.4099999999999</v>
      </c>
      <c r="K235" s="245">
        <f t="shared" si="47"/>
        <v>2511.0299999999997</v>
      </c>
      <c r="L235" s="245">
        <f t="shared" si="47"/>
        <v>2077.1799999999998</v>
      </c>
      <c r="M235" s="245">
        <f t="shared" si="47"/>
        <v>2454.5</v>
      </c>
      <c r="N235" s="245">
        <f t="shared" si="47"/>
        <v>1116.02</v>
      </c>
      <c r="O235" s="245">
        <f t="shared" si="47"/>
        <v>841.04</v>
      </c>
      <c r="P235" s="245">
        <f t="shared" si="47"/>
        <v>518.78</v>
      </c>
      <c r="Q235" s="245">
        <f t="shared" si="47"/>
        <v>302.27</v>
      </c>
      <c r="R235" s="245">
        <f t="shared" si="47"/>
        <v>734.92</v>
      </c>
      <c r="S235" s="245">
        <f t="shared" si="47"/>
        <v>627.45000000000005</v>
      </c>
      <c r="T235" s="245">
        <f t="shared" si="47"/>
        <v>511.9</v>
      </c>
      <c r="U235" s="245">
        <f t="shared" si="47"/>
        <v>682.77</v>
      </c>
      <c r="V235" s="245">
        <f t="shared" si="47"/>
        <v>1326.62</v>
      </c>
      <c r="W235" s="245">
        <f t="shared" si="47"/>
        <v>1186.6300000000001</v>
      </c>
      <c r="X235" s="245">
        <f t="shared" si="47"/>
        <v>975.15</v>
      </c>
      <c r="Y235" s="245">
        <f t="shared" si="47"/>
        <v>798</v>
      </c>
      <c r="Z235" s="245" t="e">
        <f t="shared" si="47"/>
        <v>#VALUE!</v>
      </c>
      <c r="AA235" s="245" t="e">
        <f t="shared" si="47"/>
        <v>#VALUE!</v>
      </c>
      <c r="AB235" s="245" t="e">
        <f t="shared" si="47"/>
        <v>#VALUE!</v>
      </c>
      <c r="AC235" s="245" t="e">
        <f t="shared" si="47"/>
        <v>#VALUE!</v>
      </c>
      <c r="AD235" s="245" t="e">
        <f t="shared" si="47"/>
        <v>#VALUE!</v>
      </c>
      <c r="AE235" s="245" t="e">
        <f t="shared" si="47"/>
        <v>#VALUE!</v>
      </c>
      <c r="AF235" s="245" t="e">
        <f t="shared" si="47"/>
        <v>#VALUE!</v>
      </c>
      <c r="AG235" s="245" t="e">
        <f t="shared" si="47"/>
        <v>#VALUE!</v>
      </c>
      <c r="AH235" s="245" t="e">
        <f t="shared" si="47"/>
        <v>#VALUE!</v>
      </c>
      <c r="AI235" s="245" t="e">
        <f t="shared" si="47"/>
        <v>#VALUE!</v>
      </c>
      <c r="AJ235" s="245" t="e">
        <f t="shared" si="47"/>
        <v>#VALUE!</v>
      </c>
      <c r="AK235" s="245" t="e">
        <f t="shared" si="47"/>
        <v>#VALUE!</v>
      </c>
      <c r="AL235" s="245" t="e">
        <f t="shared" si="47"/>
        <v>#VALUE!</v>
      </c>
      <c r="AM235" s="245" t="e">
        <f t="shared" si="47"/>
        <v>#VALUE!</v>
      </c>
      <c r="AN235" s="292">
        <f t="shared" si="47"/>
        <v>30086.480000000003</v>
      </c>
      <c r="AO235" s="79" t="s">
        <v>274</v>
      </c>
      <c r="AP235" s="80" t="s">
        <v>13</v>
      </c>
    </row>
    <row r="236" spans="1:42" ht="15" x14ac:dyDescent="0.25">
      <c r="A236" s="290" t="s">
        <v>120</v>
      </c>
      <c r="B236" s="291" t="s">
        <v>344</v>
      </c>
      <c r="C236" s="245">
        <f>+C70</f>
        <v>0</v>
      </c>
      <c r="D236" s="245">
        <f>+D70</f>
        <v>1</v>
      </c>
      <c r="E236" s="245">
        <f>+E70</f>
        <v>0</v>
      </c>
      <c r="F236" s="245">
        <f t="shared" ref="F236:AN236" si="48">+F70</f>
        <v>0.5</v>
      </c>
      <c r="G236" s="245">
        <f t="shared" si="48"/>
        <v>58.69</v>
      </c>
      <c r="H236" s="245">
        <f t="shared" si="48"/>
        <v>34.29</v>
      </c>
      <c r="I236" s="245">
        <f t="shared" si="48"/>
        <v>93.48</v>
      </c>
      <c r="J236" s="245">
        <f t="shared" si="48"/>
        <v>21.4</v>
      </c>
      <c r="K236" s="245">
        <f t="shared" si="48"/>
        <v>41.29</v>
      </c>
      <c r="L236" s="245">
        <f t="shared" si="48"/>
        <v>92.68</v>
      </c>
      <c r="M236" s="245">
        <f t="shared" si="48"/>
        <v>214.08</v>
      </c>
      <c r="N236" s="245">
        <f t="shared" si="48"/>
        <v>172.93</v>
      </c>
      <c r="O236" s="245">
        <f t="shared" si="48"/>
        <v>119.38</v>
      </c>
      <c r="P236" s="245">
        <f t="shared" si="48"/>
        <v>216.62</v>
      </c>
      <c r="Q236" s="245">
        <f t="shared" si="48"/>
        <v>70.09</v>
      </c>
      <c r="R236" s="245">
        <f t="shared" si="48"/>
        <v>47.97</v>
      </c>
      <c r="S236" s="245">
        <f t="shared" si="48"/>
        <v>165.57</v>
      </c>
      <c r="T236" s="245">
        <f t="shared" si="48"/>
        <v>118.04</v>
      </c>
      <c r="U236" s="245">
        <f t="shared" si="48"/>
        <v>379.88</v>
      </c>
      <c r="V236" s="245">
        <f t="shared" si="48"/>
        <v>78.28</v>
      </c>
      <c r="W236" s="245">
        <f t="shared" si="48"/>
        <v>432.86</v>
      </c>
      <c r="X236" s="245">
        <f t="shared" si="48"/>
        <v>468.1</v>
      </c>
      <c r="Y236" s="245">
        <f t="shared" si="48"/>
        <v>287.68</v>
      </c>
      <c r="Z236" s="245">
        <f t="shared" si="48"/>
        <v>401.04</v>
      </c>
      <c r="AA236" s="245">
        <f t="shared" si="48"/>
        <v>462.08</v>
      </c>
      <c r="AB236" s="245">
        <f t="shared" si="48"/>
        <v>696.29</v>
      </c>
      <c r="AC236" s="245">
        <f t="shared" si="48"/>
        <v>735.13</v>
      </c>
      <c r="AD236" s="245">
        <f t="shared" si="48"/>
        <v>515.87</v>
      </c>
      <c r="AE236" s="245">
        <f t="shared" si="48"/>
        <v>562.87</v>
      </c>
      <c r="AF236" s="245">
        <f t="shared" si="48"/>
        <v>612.28</v>
      </c>
      <c r="AG236" s="245">
        <f t="shared" si="48"/>
        <v>357.77</v>
      </c>
      <c r="AH236" s="245">
        <f t="shared" si="48"/>
        <v>316.04000000000002</v>
      </c>
      <c r="AI236" s="245">
        <f t="shared" si="48"/>
        <v>137.07</v>
      </c>
      <c r="AJ236" s="245">
        <f t="shared" si="48"/>
        <v>149.66999999999999</v>
      </c>
      <c r="AK236" s="245" t="str">
        <f t="shared" si="48"/>
        <v>---</v>
      </c>
      <c r="AL236" s="245" t="str">
        <f t="shared" si="48"/>
        <v>---</v>
      </c>
      <c r="AM236" s="245" t="str">
        <f t="shared" si="48"/>
        <v>---</v>
      </c>
      <c r="AN236" s="292">
        <f t="shared" si="48"/>
        <v>8060.9199999999992</v>
      </c>
      <c r="AO236" s="79" t="s">
        <v>120</v>
      </c>
      <c r="AP236" s="80" t="s">
        <v>45</v>
      </c>
    </row>
    <row r="237" spans="1:42" ht="15" x14ac:dyDescent="0.25">
      <c r="A237" s="281" t="s">
        <v>260</v>
      </c>
      <c r="B237" s="287" t="s">
        <v>345</v>
      </c>
      <c r="C237" s="283">
        <f t="shared" ref="C237:AN237" si="49">+C156+C203+C200+SUM(C201:C202)+C155</f>
        <v>2463</v>
      </c>
      <c r="D237" s="283">
        <f t="shared" si="49"/>
        <v>433.89</v>
      </c>
      <c r="E237" s="283">
        <f t="shared" si="49"/>
        <v>759.98</v>
      </c>
      <c r="F237" s="283">
        <f t="shared" si="49"/>
        <v>2082.64</v>
      </c>
      <c r="G237" s="283">
        <f t="shared" si="49"/>
        <v>1874.19</v>
      </c>
      <c r="H237" s="283">
        <f t="shared" si="49"/>
        <v>4546.7</v>
      </c>
      <c r="I237" s="283">
        <f t="shared" si="49"/>
        <v>3019.98</v>
      </c>
      <c r="J237" s="283">
        <f t="shared" si="49"/>
        <v>2414.3000000000002</v>
      </c>
      <c r="K237" s="283">
        <f t="shared" si="49"/>
        <v>2923.31</v>
      </c>
      <c r="L237" s="283">
        <f t="shared" si="49"/>
        <v>1828.3700000000001</v>
      </c>
      <c r="M237" s="283">
        <f t="shared" si="49"/>
        <v>2573.5299999999997</v>
      </c>
      <c r="N237" s="283" t="e">
        <f t="shared" si="49"/>
        <v>#VALUE!</v>
      </c>
      <c r="O237" s="283" t="e">
        <f t="shared" si="49"/>
        <v>#VALUE!</v>
      </c>
      <c r="P237" s="283" t="e">
        <f t="shared" si="49"/>
        <v>#VALUE!</v>
      </c>
      <c r="Q237" s="283" t="e">
        <f t="shared" si="49"/>
        <v>#VALUE!</v>
      </c>
      <c r="R237" s="283" t="e">
        <f t="shared" si="49"/>
        <v>#VALUE!</v>
      </c>
      <c r="S237" s="283" t="e">
        <f t="shared" si="49"/>
        <v>#VALUE!</v>
      </c>
      <c r="T237" s="283" t="e">
        <f t="shared" si="49"/>
        <v>#VALUE!</v>
      </c>
      <c r="U237" s="283" t="e">
        <f t="shared" si="49"/>
        <v>#VALUE!</v>
      </c>
      <c r="V237" s="283" t="e">
        <f t="shared" si="49"/>
        <v>#VALUE!</v>
      </c>
      <c r="W237" s="283" t="e">
        <f t="shared" si="49"/>
        <v>#VALUE!</v>
      </c>
      <c r="X237" s="283" t="e">
        <f t="shared" si="49"/>
        <v>#VALUE!</v>
      </c>
      <c r="Y237" s="283" t="e">
        <f t="shared" si="49"/>
        <v>#VALUE!</v>
      </c>
      <c r="Z237" s="283" t="e">
        <f t="shared" si="49"/>
        <v>#VALUE!</v>
      </c>
      <c r="AA237" s="283" t="e">
        <f t="shared" si="49"/>
        <v>#VALUE!</v>
      </c>
      <c r="AB237" s="283" t="e">
        <f t="shared" si="49"/>
        <v>#VALUE!</v>
      </c>
      <c r="AC237" s="283" t="e">
        <f t="shared" si="49"/>
        <v>#VALUE!</v>
      </c>
      <c r="AD237" s="283" t="e">
        <f t="shared" si="49"/>
        <v>#VALUE!</v>
      </c>
      <c r="AE237" s="283" t="e">
        <f t="shared" si="49"/>
        <v>#VALUE!</v>
      </c>
      <c r="AF237" s="283" t="e">
        <f t="shared" si="49"/>
        <v>#VALUE!</v>
      </c>
      <c r="AG237" s="283" t="e">
        <f t="shared" si="49"/>
        <v>#VALUE!</v>
      </c>
      <c r="AH237" s="283" t="e">
        <f t="shared" si="49"/>
        <v>#VALUE!</v>
      </c>
      <c r="AI237" s="283" t="e">
        <f t="shared" si="49"/>
        <v>#VALUE!</v>
      </c>
      <c r="AJ237" s="283" t="e">
        <f t="shared" si="49"/>
        <v>#VALUE!</v>
      </c>
      <c r="AK237" s="283" t="e">
        <f t="shared" si="49"/>
        <v>#VALUE!</v>
      </c>
      <c r="AL237" s="283" t="e">
        <f t="shared" si="49"/>
        <v>#VALUE!</v>
      </c>
      <c r="AM237" s="283" t="e">
        <f t="shared" si="49"/>
        <v>#VALUE!</v>
      </c>
      <c r="AN237" s="284">
        <f t="shared" si="49"/>
        <v>51243.24</v>
      </c>
      <c r="AO237" s="285" t="s">
        <v>260</v>
      </c>
      <c r="AP237" s="286" t="s">
        <v>13</v>
      </c>
    </row>
    <row r="238" spans="1:42" ht="15" x14ac:dyDescent="0.25">
      <c r="A238" s="281" t="s">
        <v>123</v>
      </c>
      <c r="B238" s="287" t="s">
        <v>346</v>
      </c>
      <c r="C238" s="283">
        <f>SUM(C71:C73)</f>
        <v>2</v>
      </c>
      <c r="D238" s="283">
        <f>SUM(D71:D73)</f>
        <v>2.5</v>
      </c>
      <c r="E238" s="283">
        <f>SUM(E71:E73)</f>
        <v>3.5</v>
      </c>
      <c r="F238" s="283">
        <f t="shared" ref="F238:AN238" si="50">SUM(F71:F73)</f>
        <v>3.5</v>
      </c>
      <c r="G238" s="283">
        <f t="shared" si="50"/>
        <v>3</v>
      </c>
      <c r="H238" s="283">
        <f t="shared" si="50"/>
        <v>7.4899999999999993</v>
      </c>
      <c r="I238" s="283">
        <f t="shared" si="50"/>
        <v>17.93</v>
      </c>
      <c r="J238" s="283">
        <f t="shared" si="50"/>
        <v>11.86</v>
      </c>
      <c r="K238" s="283">
        <f t="shared" si="50"/>
        <v>14.26</v>
      </c>
      <c r="L238" s="283">
        <f t="shared" si="50"/>
        <v>17.38</v>
      </c>
      <c r="M238" s="283">
        <f t="shared" si="50"/>
        <v>9.7799999999999994</v>
      </c>
      <c r="N238" s="283">
        <f t="shared" si="50"/>
        <v>12.53</v>
      </c>
      <c r="O238" s="283">
        <f t="shared" si="50"/>
        <v>9.5500000000000007</v>
      </c>
      <c r="P238" s="283">
        <f t="shared" si="50"/>
        <v>21.96</v>
      </c>
      <c r="Q238" s="283">
        <f t="shared" si="50"/>
        <v>92.46</v>
      </c>
      <c r="R238" s="283">
        <f t="shared" si="50"/>
        <v>102.98</v>
      </c>
      <c r="S238" s="283">
        <f t="shared" si="50"/>
        <v>42.64</v>
      </c>
      <c r="T238" s="283">
        <f t="shared" si="50"/>
        <v>66.62</v>
      </c>
      <c r="U238" s="283">
        <f t="shared" si="50"/>
        <v>54.72</v>
      </c>
      <c r="V238" s="283">
        <f t="shared" si="50"/>
        <v>67.489999999999995</v>
      </c>
      <c r="W238" s="283">
        <f t="shared" si="50"/>
        <v>40.200000000000003</v>
      </c>
      <c r="X238" s="283">
        <f t="shared" si="50"/>
        <v>80.19</v>
      </c>
      <c r="Y238" s="283">
        <f t="shared" si="50"/>
        <v>84.27</v>
      </c>
      <c r="Z238" s="283">
        <f t="shared" si="50"/>
        <v>77.489999999999995</v>
      </c>
      <c r="AA238" s="283">
        <f t="shared" si="50"/>
        <v>99.450000000000017</v>
      </c>
      <c r="AB238" s="283">
        <f t="shared" si="50"/>
        <v>80.290000000000006</v>
      </c>
      <c r="AC238" s="283">
        <f t="shared" si="50"/>
        <v>6</v>
      </c>
      <c r="AD238" s="283">
        <f t="shared" si="50"/>
        <v>10.08</v>
      </c>
      <c r="AE238" s="283">
        <f t="shared" si="50"/>
        <v>5.59</v>
      </c>
      <c r="AF238" s="283">
        <f t="shared" si="50"/>
        <v>2.2200000000000002</v>
      </c>
      <c r="AG238" s="283">
        <f t="shared" si="50"/>
        <v>1.81</v>
      </c>
      <c r="AH238" s="283">
        <f t="shared" si="50"/>
        <v>6.7</v>
      </c>
      <c r="AI238" s="283">
        <f t="shared" si="50"/>
        <v>2.0499999999999998</v>
      </c>
      <c r="AJ238" s="283">
        <f t="shared" si="50"/>
        <v>2.5</v>
      </c>
      <c r="AK238" s="283">
        <f t="shared" si="50"/>
        <v>0</v>
      </c>
      <c r="AL238" s="283">
        <f t="shared" si="50"/>
        <v>0</v>
      </c>
      <c r="AM238" s="283">
        <f t="shared" si="50"/>
        <v>0</v>
      </c>
      <c r="AN238" s="284">
        <f t="shared" si="50"/>
        <v>1062.9899999999998</v>
      </c>
      <c r="AO238" s="285" t="s">
        <v>123</v>
      </c>
      <c r="AP238" s="286" t="s">
        <v>45</v>
      </c>
    </row>
    <row r="239" spans="1:42" ht="15" x14ac:dyDescent="0.25">
      <c r="A239" s="281" t="s">
        <v>347</v>
      </c>
      <c r="B239" s="287" t="s">
        <v>348</v>
      </c>
      <c r="C239" s="283">
        <f>C81+SUM(C97:C110)+SUM(C194:C196)+SUM(C198:C199)</f>
        <v>236.98999999999998</v>
      </c>
      <c r="D239" s="283">
        <f>D81+SUM(D97:D110)+SUM(D194:D196)+SUM(D198:D199)</f>
        <v>233.917</v>
      </c>
      <c r="E239" s="283">
        <f>E81+SUM(E97:E110)+SUM(E196:E198)+SUM(E200:E201)</f>
        <v>280.66999999999996</v>
      </c>
      <c r="F239" s="283">
        <f t="shared" ref="F239:AN239" si="51">F81+SUM(F97:F110)+SUM(F194:F196)+SUM(F198:F199)</f>
        <v>318.14</v>
      </c>
      <c r="G239" s="283">
        <f t="shared" si="51"/>
        <v>418.71000000000004</v>
      </c>
      <c r="H239" s="283">
        <f t="shared" si="51"/>
        <v>666.21</v>
      </c>
      <c r="I239" s="283">
        <f t="shared" si="51"/>
        <v>1128.6499999999999</v>
      </c>
      <c r="J239" s="283">
        <f t="shared" si="51"/>
        <v>603.74</v>
      </c>
      <c r="K239" s="283">
        <f t="shared" si="51"/>
        <v>546.24</v>
      </c>
      <c r="L239" s="283">
        <f t="shared" si="51"/>
        <v>910.06</v>
      </c>
      <c r="M239" s="283">
        <f t="shared" si="51"/>
        <v>544.71</v>
      </c>
      <c r="N239" s="283">
        <f t="shared" si="51"/>
        <v>605.36</v>
      </c>
      <c r="O239" s="283">
        <f t="shared" si="51"/>
        <v>629.22</v>
      </c>
      <c r="P239" s="283">
        <f t="shared" si="51"/>
        <v>718.02</v>
      </c>
      <c r="Q239" s="283">
        <f t="shared" si="51"/>
        <v>543.96</v>
      </c>
      <c r="R239" s="283">
        <f t="shared" si="51"/>
        <v>586.95000000000005</v>
      </c>
      <c r="S239" s="283">
        <f t="shared" si="51"/>
        <v>323.98999999999995</v>
      </c>
      <c r="T239" s="283">
        <f t="shared" si="51"/>
        <v>272.74999999999994</v>
      </c>
      <c r="U239" s="283" t="e">
        <f t="shared" si="51"/>
        <v>#VALUE!</v>
      </c>
      <c r="V239" s="283" t="e">
        <f t="shared" si="51"/>
        <v>#VALUE!</v>
      </c>
      <c r="W239" s="283" t="e">
        <f t="shared" si="51"/>
        <v>#VALUE!</v>
      </c>
      <c r="X239" s="283" t="e">
        <f t="shared" si="51"/>
        <v>#VALUE!</v>
      </c>
      <c r="Y239" s="283" t="e">
        <f t="shared" si="51"/>
        <v>#VALUE!</v>
      </c>
      <c r="Z239" s="283" t="e">
        <f t="shared" si="51"/>
        <v>#VALUE!</v>
      </c>
      <c r="AA239" s="283" t="e">
        <f t="shared" si="51"/>
        <v>#VALUE!</v>
      </c>
      <c r="AB239" s="283" t="e">
        <f t="shared" si="51"/>
        <v>#VALUE!</v>
      </c>
      <c r="AC239" s="283" t="e">
        <f t="shared" si="51"/>
        <v>#VALUE!</v>
      </c>
      <c r="AD239" s="283" t="e">
        <f t="shared" si="51"/>
        <v>#VALUE!</v>
      </c>
      <c r="AE239" s="283" t="e">
        <f t="shared" si="51"/>
        <v>#VALUE!</v>
      </c>
      <c r="AF239" s="283" t="e">
        <f t="shared" si="51"/>
        <v>#VALUE!</v>
      </c>
      <c r="AG239" s="283" t="e">
        <f t="shared" si="51"/>
        <v>#VALUE!</v>
      </c>
      <c r="AH239" s="283" t="e">
        <f t="shared" si="51"/>
        <v>#VALUE!</v>
      </c>
      <c r="AI239" s="283" t="e">
        <f t="shared" si="51"/>
        <v>#VALUE!</v>
      </c>
      <c r="AJ239" s="283" t="e">
        <f t="shared" si="51"/>
        <v>#VALUE!</v>
      </c>
      <c r="AK239" s="283" t="e">
        <f t="shared" si="51"/>
        <v>#VALUE!</v>
      </c>
      <c r="AL239" s="283" t="e">
        <f t="shared" si="51"/>
        <v>#VALUE!</v>
      </c>
      <c r="AM239" s="283" t="e">
        <f t="shared" si="51"/>
        <v>#VALUE!</v>
      </c>
      <c r="AN239" s="284">
        <f t="shared" si="51"/>
        <v>12881.507000000001</v>
      </c>
      <c r="AO239" s="285" t="s">
        <v>141</v>
      </c>
      <c r="AP239" s="286" t="s">
        <v>141</v>
      </c>
    </row>
    <row r="240" spans="1:42" ht="15" x14ac:dyDescent="0.25">
      <c r="A240" s="293"/>
      <c r="B240" s="294"/>
      <c r="C240" s="295"/>
      <c r="D240" s="295"/>
      <c r="E240" s="295"/>
      <c r="F240" s="295"/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  <c r="X240" s="295"/>
      <c r="Y240" s="295"/>
      <c r="Z240" s="295"/>
      <c r="AA240" s="295"/>
      <c r="AB240" s="295"/>
      <c r="AC240" s="295"/>
      <c r="AD240" s="295"/>
      <c r="AE240" s="295"/>
      <c r="AF240" s="295"/>
      <c r="AG240" s="295"/>
      <c r="AH240" s="295"/>
      <c r="AI240" s="295"/>
      <c r="AJ240" s="295"/>
      <c r="AK240" s="295"/>
      <c r="AL240" s="295"/>
      <c r="AM240" s="295"/>
      <c r="AN240" s="296"/>
      <c r="AO240" s="297"/>
      <c r="AP240" s="298"/>
    </row>
    <row r="241" spans="1:42" ht="15" x14ac:dyDescent="0.25">
      <c r="A241" s="127"/>
      <c r="B241" s="185" t="s">
        <v>110</v>
      </c>
      <c r="C241" s="186">
        <f t="shared" ref="C241:G241" si="52">SUM(C227:C239)</f>
        <v>79897.760000000009</v>
      </c>
      <c r="D241" s="186">
        <f t="shared" si="52"/>
        <v>89232.657000000007</v>
      </c>
      <c r="E241" s="186">
        <f t="shared" si="52"/>
        <v>57217.250000000007</v>
      </c>
      <c r="F241" s="186">
        <f t="shared" si="52"/>
        <v>44220.789999999994</v>
      </c>
      <c r="G241" s="186">
        <f t="shared" si="52"/>
        <v>48751.159999999996</v>
      </c>
      <c r="H241" s="186" t="e">
        <f t="shared" ref="H241:AN241" si="53">SUM(H227:H239)</f>
        <v>#VALUE!</v>
      </c>
      <c r="I241" s="186" t="e">
        <f t="shared" si="53"/>
        <v>#VALUE!</v>
      </c>
      <c r="J241" s="186" t="e">
        <f t="shared" si="53"/>
        <v>#VALUE!</v>
      </c>
      <c r="K241" s="186" t="e">
        <f t="shared" si="53"/>
        <v>#VALUE!</v>
      </c>
      <c r="L241" s="186" t="e">
        <f t="shared" si="53"/>
        <v>#VALUE!</v>
      </c>
      <c r="M241" s="186" t="e">
        <f t="shared" si="53"/>
        <v>#VALUE!</v>
      </c>
      <c r="N241" s="186" t="e">
        <f t="shared" si="53"/>
        <v>#VALUE!</v>
      </c>
      <c r="O241" s="186" t="e">
        <f t="shared" si="53"/>
        <v>#VALUE!</v>
      </c>
      <c r="P241" s="186" t="e">
        <f t="shared" si="53"/>
        <v>#VALUE!</v>
      </c>
      <c r="Q241" s="186" t="e">
        <f t="shared" si="53"/>
        <v>#VALUE!</v>
      </c>
      <c r="R241" s="186" t="e">
        <f t="shared" si="53"/>
        <v>#VALUE!</v>
      </c>
      <c r="S241" s="186" t="e">
        <f t="shared" si="53"/>
        <v>#VALUE!</v>
      </c>
      <c r="T241" s="186" t="e">
        <f t="shared" si="53"/>
        <v>#VALUE!</v>
      </c>
      <c r="U241" s="186" t="e">
        <f t="shared" si="53"/>
        <v>#VALUE!</v>
      </c>
      <c r="V241" s="186" t="e">
        <f t="shared" si="53"/>
        <v>#VALUE!</v>
      </c>
      <c r="W241" s="186" t="e">
        <f t="shared" si="53"/>
        <v>#VALUE!</v>
      </c>
      <c r="X241" s="186" t="e">
        <f t="shared" si="53"/>
        <v>#VALUE!</v>
      </c>
      <c r="Y241" s="186" t="e">
        <f t="shared" si="53"/>
        <v>#VALUE!</v>
      </c>
      <c r="Z241" s="186" t="e">
        <f t="shared" si="53"/>
        <v>#VALUE!</v>
      </c>
      <c r="AA241" s="186" t="e">
        <f t="shared" si="53"/>
        <v>#VALUE!</v>
      </c>
      <c r="AB241" s="186" t="e">
        <f t="shared" si="53"/>
        <v>#VALUE!</v>
      </c>
      <c r="AC241" s="186" t="e">
        <f t="shared" si="53"/>
        <v>#VALUE!</v>
      </c>
      <c r="AD241" s="186" t="e">
        <f t="shared" si="53"/>
        <v>#VALUE!</v>
      </c>
      <c r="AE241" s="186" t="e">
        <f t="shared" si="53"/>
        <v>#VALUE!</v>
      </c>
      <c r="AF241" s="186" t="e">
        <f t="shared" si="53"/>
        <v>#VALUE!</v>
      </c>
      <c r="AG241" s="186" t="e">
        <f t="shared" si="53"/>
        <v>#VALUE!</v>
      </c>
      <c r="AH241" s="186" t="e">
        <f t="shared" si="53"/>
        <v>#VALUE!</v>
      </c>
      <c r="AI241" s="186" t="e">
        <f t="shared" si="53"/>
        <v>#VALUE!</v>
      </c>
      <c r="AJ241" s="186" t="e">
        <f t="shared" si="53"/>
        <v>#VALUE!</v>
      </c>
      <c r="AK241" s="186" t="e">
        <f t="shared" si="53"/>
        <v>#VALUE!</v>
      </c>
      <c r="AL241" s="186" t="e">
        <f t="shared" si="53"/>
        <v>#VALUE!</v>
      </c>
      <c r="AM241" s="186" t="e">
        <f t="shared" si="53"/>
        <v>#VALUE!</v>
      </c>
      <c r="AN241" s="187">
        <f t="shared" si="53"/>
        <v>1951488.5635646787</v>
      </c>
      <c r="AO241" s="188"/>
      <c r="AP241" s="189"/>
    </row>
    <row r="242" spans="1:42" ht="15" x14ac:dyDescent="0.25">
      <c r="A242" s="208"/>
      <c r="B242" s="73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  <c r="Z242" s="211"/>
      <c r="AA242" s="211"/>
      <c r="AB242" s="211"/>
      <c r="AC242" s="211"/>
      <c r="AD242" s="211"/>
      <c r="AE242" s="211"/>
      <c r="AF242" s="211"/>
      <c r="AG242" s="211"/>
      <c r="AH242" s="211"/>
      <c r="AI242" s="211"/>
      <c r="AJ242" s="211"/>
      <c r="AK242" s="211"/>
      <c r="AL242" s="211"/>
      <c r="AM242" s="211"/>
      <c r="AN242" s="78"/>
      <c r="AO242" s="214"/>
      <c r="AP242" s="299"/>
    </row>
    <row r="243" spans="1:42" ht="15" x14ac:dyDescent="0.25">
      <c r="A243" s="208"/>
      <c r="B243" s="73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1"/>
      <c r="AK243" s="211"/>
      <c r="AL243" s="211"/>
      <c r="AM243" s="211"/>
      <c r="AN243" s="78"/>
      <c r="AO243" s="214"/>
      <c r="AP243" s="299"/>
    </row>
    <row r="244" spans="1:42" ht="15" x14ac:dyDescent="0.25">
      <c r="A244" s="208"/>
      <c r="B244" s="73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1"/>
      <c r="AK244" s="211"/>
      <c r="AL244" s="211"/>
      <c r="AM244" s="211"/>
      <c r="AN244" s="78"/>
      <c r="AO244" s="214"/>
      <c r="AP244" s="299"/>
    </row>
    <row r="245" spans="1:42" ht="15" x14ac:dyDescent="0.25">
      <c r="A245" s="208"/>
      <c r="B245" s="73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  <c r="Z245" s="211"/>
      <c r="AA245" s="211"/>
      <c r="AB245" s="211"/>
      <c r="AC245" s="211"/>
      <c r="AD245" s="211"/>
      <c r="AE245" s="211"/>
      <c r="AF245" s="211"/>
      <c r="AG245" s="211"/>
      <c r="AH245" s="211"/>
      <c r="AI245" s="211"/>
      <c r="AJ245" s="211"/>
      <c r="AK245" s="211"/>
      <c r="AL245" s="211"/>
      <c r="AM245" s="211"/>
      <c r="AN245" s="78"/>
      <c r="AO245" s="214"/>
      <c r="AP245" s="299"/>
    </row>
    <row r="246" spans="1:42" ht="15" x14ac:dyDescent="0.25">
      <c r="A246" s="208"/>
      <c r="B246" s="73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  <c r="Z246" s="211"/>
      <c r="AA246" s="211"/>
      <c r="AB246" s="211"/>
      <c r="AC246" s="211"/>
      <c r="AD246" s="211"/>
      <c r="AE246" s="211"/>
      <c r="AF246" s="211"/>
      <c r="AG246" s="211"/>
      <c r="AH246" s="211"/>
      <c r="AI246" s="211"/>
      <c r="AJ246" s="211"/>
      <c r="AK246" s="211"/>
      <c r="AL246" s="211"/>
      <c r="AM246" s="211"/>
      <c r="AN246" s="78"/>
      <c r="AO246" s="214"/>
      <c r="AP246" s="299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AVEK Historial 1976-2012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AVEK Analyst</dc:creator>
  <cp:lastModifiedBy>JoAnne Quihuis</cp:lastModifiedBy>
  <dcterms:created xsi:type="dcterms:W3CDTF">2014-02-14T20:53:57Z</dcterms:created>
  <dcterms:modified xsi:type="dcterms:W3CDTF">2014-02-14T22:13:49Z</dcterms:modified>
</cp:coreProperties>
</file>